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918e8be0f8984aee"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CAC3ED42-AA0E-4360-A073-DFA2C168C505}" xr6:coauthVersionLast="47" xr6:coauthVersionMax="47" xr10:uidLastSave="{00000000-0000-0000-0000-000000000000}"/>
  <bookViews>
    <workbookView xWindow="-110" yWindow="-110" windowWidth="19420" windowHeight="11500" tabRatio="841" xr2:uid="{00000000-000D-0000-FFFF-FFFF00000000}"/>
  </bookViews>
  <sheets>
    <sheet name="Indicators" sheetId="2" r:id="rId1"/>
    <sheet name="Comparison" sheetId="19" r:id="rId2"/>
    <sheet name="Venue Data" sheetId="32" r:id="rId3"/>
    <sheet name="Data" sheetId="1" state="hidden" r:id="rId4"/>
    <sheet name="Summing by LGA from Venue Data" sheetId="21" state="hidden" r:id="rId5"/>
  </sheets>
  <definedNames>
    <definedName name="_xlnm._FilterDatabase" localSheetId="2" hidden="1">'Venue Data'!$C$6:$E$502</definedName>
    <definedName name="_xlnm.Print_Area" localSheetId="1">Comparison!$A$1:$J$79</definedName>
    <definedName name="_xlnm.Print_Area" localSheetId="3">Data!$B$4:$BJ$85</definedName>
    <definedName name="_xlnm.Print_Area" localSheetId="0">Indicators!$A$1:$K$23</definedName>
    <definedName name="_xlnm.Print_Area" localSheetId="2">'Venue Data'!$B$1:$G$497</definedName>
    <definedName name="_xlnm.Print_Titles" localSheetId="2">'Venue Data'!$5:$5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 i="1" l="1"/>
  <c r="G4" i="32"/>
  <c r="F4" i="32"/>
  <c r="E4" i="32"/>
  <c r="D4" i="32" l="1"/>
  <c r="E9" i="19"/>
  <c r="C92" i="1"/>
  <c r="S5" i="1"/>
  <c r="P5" i="1"/>
  <c r="O5" i="1"/>
  <c r="N5" i="1"/>
  <c r="M5" i="1"/>
  <c r="K5" i="1"/>
  <c r="J4" i="1"/>
  <c r="I84" i="1" l="1"/>
  <c r="I85" i="1"/>
  <c r="R11" i="1"/>
  <c r="P30" i="1"/>
  <c r="K4" i="1"/>
  <c r="H92" i="1" l="1"/>
  <c r="H93" i="1"/>
  <c r="H95" i="1"/>
  <c r="R65" i="1" l="1"/>
  <c r="N5" i="21" l="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4"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5" i="21"/>
  <c r="K6" i="21"/>
  <c r="K7" i="21"/>
  <c r="K8" i="21"/>
  <c r="K4" i="21"/>
  <c r="L83" i="21" l="1"/>
  <c r="K83" i="21"/>
  <c r="J6" i="1"/>
  <c r="F12" i="2" l="1"/>
  <c r="S6" i="1"/>
  <c r="K6" i="1"/>
  <c r="J5" i="1"/>
  <c r="S82" i="21"/>
  <c r="S81" i="21"/>
  <c r="S80" i="21"/>
  <c r="S79" i="21"/>
  <c r="S78" i="21"/>
  <c r="S76" i="21"/>
  <c r="S75" i="21"/>
  <c r="S74" i="21"/>
  <c r="S73" i="21"/>
  <c r="S72" i="21"/>
  <c r="S70" i="21"/>
  <c r="S69" i="21"/>
  <c r="S67" i="21"/>
  <c r="S65" i="21"/>
  <c r="S63" i="21"/>
  <c r="S62" i="21"/>
  <c r="S58" i="21"/>
  <c r="S56" i="21"/>
  <c r="S55" i="21"/>
  <c r="S53" i="21"/>
  <c r="S52" i="21"/>
  <c r="S49" i="21"/>
  <c r="S48" i="21"/>
  <c r="S47" i="21"/>
  <c r="S46" i="21"/>
  <c r="S45" i="21"/>
  <c r="S43" i="21"/>
  <c r="S42" i="21"/>
  <c r="S41" i="21"/>
  <c r="S40" i="21"/>
  <c r="S39" i="21"/>
  <c r="S38" i="21"/>
  <c r="S37" i="21"/>
  <c r="S36" i="21"/>
  <c r="S35" i="21"/>
  <c r="S34" i="21"/>
  <c r="S33" i="21"/>
  <c r="S31" i="21"/>
  <c r="S29" i="21"/>
  <c r="S28" i="21"/>
  <c r="S27" i="21"/>
  <c r="S25" i="21"/>
  <c r="S23" i="21"/>
  <c r="S22" i="21"/>
  <c r="S21" i="21"/>
  <c r="S17" i="21"/>
  <c r="S16" i="21"/>
  <c r="S14" i="21"/>
  <c r="S13" i="21"/>
  <c r="S12" i="21"/>
  <c r="S10" i="21"/>
  <c r="S9" i="21"/>
  <c r="S8" i="21"/>
  <c r="S7" i="21"/>
  <c r="S6" i="21"/>
  <c r="U95" i="1" l="1"/>
  <c r="U93" i="1"/>
  <c r="U92" i="1"/>
  <c r="O5" i="21" l="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4" i="21"/>
  <c r="M4" i="21" l="1"/>
  <c r="O83" i="21" l="1"/>
  <c r="N83" i="21"/>
  <c r="M6"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N84" i="21" l="1"/>
  <c r="L84" i="21"/>
  <c r="K84" i="21"/>
  <c r="M83" i="21"/>
  <c r="M7" i="21"/>
  <c r="M5" i="21"/>
  <c r="M84" i="21" l="1"/>
  <c r="O84" i="21"/>
  <c r="C95" i="1" l="1"/>
  <c r="C93"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G92" i="1"/>
  <c r="F92" i="1"/>
  <c r="E92" i="1"/>
  <c r="D92" i="1"/>
  <c r="B92" i="1"/>
  <c r="J19" i="1" l="1"/>
  <c r="K21" i="1"/>
  <c r="M18" i="1"/>
  <c r="H96" i="1" s="1"/>
  <c r="P16" i="1"/>
  <c r="S26" i="1" l="1"/>
  <c r="K99" i="1" s="1"/>
  <c r="R26" i="1"/>
  <c r="K98" i="1" s="1"/>
  <c r="P26" i="1"/>
  <c r="K97" i="1" s="1"/>
  <c r="O26" i="1"/>
  <c r="M26" i="1"/>
  <c r="K96" i="1" s="1"/>
  <c r="K26" i="1"/>
  <c r="J26" i="1"/>
  <c r="M6" i="1" l="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U96" i="1" s="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Z96" i="1" l="1"/>
  <c r="Y96" i="1"/>
  <c r="N27" i="1"/>
  <c r="X96" i="1"/>
  <c r="W96" i="1"/>
  <c r="F5" i="2" l="1"/>
  <c r="A5" i="2"/>
  <c r="F10" i="2"/>
  <c r="F9" i="2"/>
  <c r="B12" i="2"/>
  <c r="P6" i="1"/>
  <c r="P7" i="1"/>
  <c r="P8" i="1"/>
  <c r="C97" i="1" s="1"/>
  <c r="P9" i="1"/>
  <c r="P10" i="1"/>
  <c r="P11" i="1"/>
  <c r="P12" i="1"/>
  <c r="P13" i="1"/>
  <c r="P14" i="1"/>
  <c r="P15" i="1"/>
  <c r="P17" i="1"/>
  <c r="P18" i="1"/>
  <c r="H97" i="1" s="1"/>
  <c r="P19" i="1"/>
  <c r="P20" i="1"/>
  <c r="P21" i="1"/>
  <c r="P22" i="1"/>
  <c r="P23" i="1"/>
  <c r="P24" i="1"/>
  <c r="P25" i="1"/>
  <c r="P27" i="1"/>
  <c r="P28" i="1"/>
  <c r="P29" i="1"/>
  <c r="P31" i="1"/>
  <c r="P32" i="1"/>
  <c r="P33" i="1"/>
  <c r="P34" i="1"/>
  <c r="P35" i="1"/>
  <c r="M97" i="1" s="1"/>
  <c r="P36" i="1"/>
  <c r="P37" i="1"/>
  <c r="P38" i="1"/>
  <c r="P39" i="1"/>
  <c r="P40" i="1"/>
  <c r="P41" i="1"/>
  <c r="P42" i="1"/>
  <c r="P43" i="1"/>
  <c r="P44" i="1"/>
  <c r="Q97" i="1" s="1"/>
  <c r="P45" i="1"/>
  <c r="P46" i="1"/>
  <c r="P47" i="1"/>
  <c r="P48" i="1"/>
  <c r="P49" i="1"/>
  <c r="U97" i="1" s="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K82" i="1"/>
  <c r="J82" i="1"/>
  <c r="S81" i="1"/>
  <c r="R81" i="1"/>
  <c r="O81" i="1"/>
  <c r="K81" i="1"/>
  <c r="J81" i="1"/>
  <c r="S80" i="1"/>
  <c r="AE99" i="1" s="1"/>
  <c r="R80" i="1"/>
  <c r="O80" i="1"/>
  <c r="K80" i="1"/>
  <c r="J80" i="1"/>
  <c r="S79" i="1"/>
  <c r="R79" i="1"/>
  <c r="O79" i="1"/>
  <c r="K79" i="1"/>
  <c r="J79" i="1"/>
  <c r="S78" i="1"/>
  <c r="R78" i="1"/>
  <c r="O78" i="1"/>
  <c r="K78" i="1"/>
  <c r="J78" i="1"/>
  <c r="S77" i="1"/>
  <c r="R77" i="1"/>
  <c r="O77" i="1"/>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K68" i="1"/>
  <c r="J68" i="1"/>
  <c r="S67" i="1"/>
  <c r="R67" i="1"/>
  <c r="O67" i="1"/>
  <c r="K67" i="1"/>
  <c r="J67" i="1"/>
  <c r="S66" i="1"/>
  <c r="R66" i="1"/>
  <c r="O66" i="1"/>
  <c r="K66" i="1"/>
  <c r="J66" i="1"/>
  <c r="O65" i="1"/>
  <c r="K65" i="1"/>
  <c r="J65" i="1"/>
  <c r="O64" i="1"/>
  <c r="K64" i="1"/>
  <c r="J64" i="1"/>
  <c r="S63" i="1"/>
  <c r="R63" i="1"/>
  <c r="O63" i="1"/>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U99" i="1" s="1"/>
  <c r="R49" i="1"/>
  <c r="U98" i="1" s="1"/>
  <c r="O49" i="1"/>
  <c r="K49" i="1"/>
  <c r="J49" i="1"/>
  <c r="S48" i="1"/>
  <c r="R48" i="1"/>
  <c r="O48" i="1"/>
  <c r="K48" i="1"/>
  <c r="J48" i="1"/>
  <c r="S47" i="1"/>
  <c r="R47" i="1"/>
  <c r="O47" i="1"/>
  <c r="K47" i="1"/>
  <c r="J47" i="1"/>
  <c r="S46" i="1"/>
  <c r="R46" i="1"/>
  <c r="O46" i="1"/>
  <c r="K46" i="1"/>
  <c r="J46" i="1"/>
  <c r="S45" i="1"/>
  <c r="R45" i="1"/>
  <c r="O45" i="1"/>
  <c r="K45" i="1"/>
  <c r="J45" i="1"/>
  <c r="S44" i="1"/>
  <c r="Q99" i="1" s="1"/>
  <c r="R44" i="1"/>
  <c r="O44" i="1"/>
  <c r="K44" i="1"/>
  <c r="J44" i="1"/>
  <c r="S43" i="1"/>
  <c r="R43" i="1"/>
  <c r="O43" i="1"/>
  <c r="K43" i="1"/>
  <c r="J43" i="1"/>
  <c r="O42" i="1"/>
  <c r="K42" i="1"/>
  <c r="J42" i="1"/>
  <c r="S41" i="1"/>
  <c r="R41" i="1"/>
  <c r="O41" i="1"/>
  <c r="K41" i="1"/>
  <c r="J41" i="1"/>
  <c r="S40" i="1"/>
  <c r="R40" i="1"/>
  <c r="O40" i="1"/>
  <c r="K40" i="1"/>
  <c r="J40" i="1"/>
  <c r="S39" i="1"/>
  <c r="R39" i="1"/>
  <c r="O39" i="1"/>
  <c r="K39" i="1"/>
  <c r="J39" i="1"/>
  <c r="O38" i="1"/>
  <c r="K38" i="1"/>
  <c r="J38" i="1"/>
  <c r="S37" i="1"/>
  <c r="R37" i="1"/>
  <c r="O37" i="1"/>
  <c r="K37" i="1"/>
  <c r="J37" i="1"/>
  <c r="S36" i="1"/>
  <c r="R36" i="1"/>
  <c r="O36" i="1"/>
  <c r="K36" i="1"/>
  <c r="J36" i="1"/>
  <c r="S35" i="1"/>
  <c r="R35" i="1"/>
  <c r="O35" i="1"/>
  <c r="K35" i="1"/>
  <c r="J35" i="1"/>
  <c r="O34" i="1"/>
  <c r="K34" i="1"/>
  <c r="J34" i="1"/>
  <c r="S33" i="1"/>
  <c r="R33" i="1"/>
  <c r="O33" i="1"/>
  <c r="K33" i="1"/>
  <c r="J33" i="1"/>
  <c r="S32" i="1"/>
  <c r="R32" i="1"/>
  <c r="O32" i="1"/>
  <c r="K32" i="1"/>
  <c r="J32" i="1"/>
  <c r="S31" i="1"/>
  <c r="R31" i="1"/>
  <c r="O31" i="1"/>
  <c r="K31" i="1"/>
  <c r="J31" i="1"/>
  <c r="S30" i="1"/>
  <c r="R30" i="1"/>
  <c r="O30" i="1"/>
  <c r="K30" i="1"/>
  <c r="J30" i="1"/>
  <c r="S29" i="1"/>
  <c r="R29" i="1"/>
  <c r="O29" i="1"/>
  <c r="K29" i="1"/>
  <c r="J29" i="1"/>
  <c r="O28" i="1"/>
  <c r="K28" i="1"/>
  <c r="J28" i="1"/>
  <c r="S27" i="1"/>
  <c r="R27" i="1"/>
  <c r="O27" i="1"/>
  <c r="K27" i="1"/>
  <c r="J27" i="1"/>
  <c r="S25" i="1"/>
  <c r="R25" i="1"/>
  <c r="O25" i="1"/>
  <c r="K25" i="1"/>
  <c r="J25" i="1"/>
  <c r="S24" i="1"/>
  <c r="R24" i="1"/>
  <c r="O24" i="1"/>
  <c r="K24" i="1"/>
  <c r="J24" i="1"/>
  <c r="S23" i="1"/>
  <c r="R23" i="1"/>
  <c r="O23" i="1"/>
  <c r="K23" i="1"/>
  <c r="J23" i="1"/>
  <c r="S22" i="1"/>
  <c r="I99" i="1" s="1"/>
  <c r="R22" i="1"/>
  <c r="O22" i="1"/>
  <c r="K22" i="1"/>
  <c r="J22" i="1"/>
  <c r="S21" i="1"/>
  <c r="R21" i="1"/>
  <c r="O21" i="1"/>
  <c r="J21" i="1"/>
  <c r="S20" i="1"/>
  <c r="R20" i="1"/>
  <c r="O20" i="1"/>
  <c r="K20" i="1"/>
  <c r="J20" i="1"/>
  <c r="S19" i="1"/>
  <c r="R19" i="1"/>
  <c r="O19" i="1"/>
  <c r="K19" i="1"/>
  <c r="S18" i="1"/>
  <c r="H99" i="1" s="1"/>
  <c r="R18" i="1"/>
  <c r="H98" i="1" s="1"/>
  <c r="O18" i="1"/>
  <c r="K18" i="1"/>
  <c r="J18" i="1"/>
  <c r="S17" i="1"/>
  <c r="R17" i="1"/>
  <c r="O17" i="1"/>
  <c r="K17" i="1"/>
  <c r="J17" i="1"/>
  <c r="S16" i="1"/>
  <c r="R16" i="1"/>
  <c r="O16" i="1"/>
  <c r="K16" i="1"/>
  <c r="J16" i="1"/>
  <c r="O15" i="1"/>
  <c r="K15" i="1"/>
  <c r="J15" i="1"/>
  <c r="S14" i="1"/>
  <c r="F99" i="1" s="1"/>
  <c r="R14" i="1"/>
  <c r="F98" i="1" s="1"/>
  <c r="O14" i="1"/>
  <c r="K14" i="1"/>
  <c r="J14" i="1"/>
  <c r="S13" i="1"/>
  <c r="R13" i="1"/>
  <c r="O13" i="1"/>
  <c r="H12" i="2" s="1"/>
  <c r="K13" i="1"/>
  <c r="H9" i="2" s="1"/>
  <c r="J13" i="1"/>
  <c r="S12" i="1"/>
  <c r="R12" i="1"/>
  <c r="O12" i="1"/>
  <c r="K12" i="1"/>
  <c r="J12" i="1"/>
  <c r="S11" i="1"/>
  <c r="O11" i="1"/>
  <c r="K11" i="1"/>
  <c r="J11" i="1"/>
  <c r="S10" i="1"/>
  <c r="R10" i="1"/>
  <c r="O10" i="1"/>
  <c r="K10" i="1"/>
  <c r="J10" i="1"/>
  <c r="S9" i="1"/>
  <c r="R9" i="1"/>
  <c r="O9" i="1"/>
  <c r="N9" i="1"/>
  <c r="K9" i="1"/>
  <c r="J9" i="1"/>
  <c r="S8" i="1"/>
  <c r="C99" i="1" s="1"/>
  <c r="R8" i="1"/>
  <c r="C98" i="1" s="1"/>
  <c r="O8" i="1"/>
  <c r="K8" i="1"/>
  <c r="J8" i="1"/>
  <c r="S7" i="1"/>
  <c r="R7" i="1"/>
  <c r="O7" i="1"/>
  <c r="N7" i="1"/>
  <c r="K7" i="1"/>
  <c r="J7" i="1"/>
  <c r="R6" i="1"/>
  <c r="O6" i="1"/>
  <c r="N43" i="1"/>
  <c r="E6" i="19"/>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T5" i="1" l="1"/>
  <c r="E61" i="19"/>
  <c r="F61" i="19" s="1"/>
  <c r="E62" i="19"/>
  <c r="F62" i="19" s="1"/>
  <c r="E77" i="19"/>
  <c r="F77" i="19" s="1"/>
  <c r="E71" i="19"/>
  <c r="F71" i="19" s="1"/>
  <c r="E76" i="19"/>
  <c r="F76" i="19" s="1"/>
  <c r="E70" i="19"/>
  <c r="F70" i="19" s="1"/>
  <c r="E64" i="19"/>
  <c r="F64" i="19" s="1"/>
  <c r="E75" i="19"/>
  <c r="F75" i="19" s="1"/>
  <c r="E69" i="19"/>
  <c r="F69" i="19" s="1"/>
  <c r="E63" i="19"/>
  <c r="F63" i="19" s="1"/>
  <c r="E68" i="19"/>
  <c r="F68" i="19" s="1"/>
  <c r="E73" i="19"/>
  <c r="F73" i="19" s="1"/>
  <c r="E65" i="19"/>
  <c r="F65" i="19" s="1"/>
  <c r="E74" i="19"/>
  <c r="F74" i="19" s="1"/>
  <c r="E67" i="19"/>
  <c r="F67" i="19" s="1"/>
  <c r="E78" i="19"/>
  <c r="F78" i="19" s="1"/>
  <c r="E66" i="19"/>
  <c r="F66" i="19" s="1"/>
  <c r="E72" i="19"/>
  <c r="F72" i="19" s="1"/>
  <c r="E23" i="19"/>
  <c r="F23" i="19" s="1"/>
  <c r="F9" i="19"/>
  <c r="T65" i="1"/>
  <c r="E98" i="1"/>
  <c r="G98" i="1"/>
  <c r="J98" i="1"/>
  <c r="L98" i="1"/>
  <c r="M98" i="1"/>
  <c r="O98" i="1"/>
  <c r="P98" i="1"/>
  <c r="R98" i="1"/>
  <c r="S98" i="1"/>
  <c r="T98" i="1"/>
  <c r="V98" i="1"/>
  <c r="Y98" i="1"/>
  <c r="Z98" i="1"/>
  <c r="AE98" i="1"/>
  <c r="AF98" i="1"/>
  <c r="AG98" i="1"/>
  <c r="D98" i="1"/>
  <c r="I98" i="1"/>
  <c r="N98" i="1"/>
  <c r="Q98" i="1"/>
  <c r="W98" i="1"/>
  <c r="X98" i="1"/>
  <c r="AA98" i="1"/>
  <c r="AB98" i="1"/>
  <c r="AC98" i="1"/>
  <c r="AD98" i="1"/>
  <c r="D99" i="1"/>
  <c r="N99" i="1"/>
  <c r="W99" i="1"/>
  <c r="X99" i="1"/>
  <c r="AA99" i="1"/>
  <c r="AB99" i="1"/>
  <c r="AC99" i="1"/>
  <c r="AD99" i="1"/>
  <c r="E99" i="1"/>
  <c r="G99" i="1"/>
  <c r="J99" i="1"/>
  <c r="L99" i="1"/>
  <c r="M99" i="1"/>
  <c r="O99" i="1"/>
  <c r="P99" i="1"/>
  <c r="R99" i="1"/>
  <c r="S99" i="1"/>
  <c r="T99" i="1"/>
  <c r="V99" i="1"/>
  <c r="Y99" i="1"/>
  <c r="Z99" i="1"/>
  <c r="AF99" i="1"/>
  <c r="AF97" i="1"/>
  <c r="AA97" i="1"/>
  <c r="Z97" i="1"/>
  <c r="Y97" i="1"/>
  <c r="V97" i="1"/>
  <c r="S97" i="1"/>
  <c r="O97" i="1"/>
  <c r="N97" i="1"/>
  <c r="G97" i="1"/>
  <c r="F97" i="1"/>
  <c r="AE97" i="1"/>
  <c r="AD97" i="1"/>
  <c r="AB97" i="1"/>
  <c r="X97" i="1"/>
  <c r="W97" i="1"/>
  <c r="T97" i="1"/>
  <c r="R97" i="1"/>
  <c r="P97" i="1"/>
  <c r="B14" i="2"/>
  <c r="L97" i="1"/>
  <c r="J97" i="1"/>
  <c r="I97" i="1"/>
  <c r="E97" i="1"/>
  <c r="D97" i="1"/>
  <c r="E39" i="19"/>
  <c r="F39" i="19" s="1"/>
  <c r="E14" i="19"/>
  <c r="F14" i="19" s="1"/>
  <c r="E30" i="19"/>
  <c r="F30" i="19" s="1"/>
  <c r="E15" i="19"/>
  <c r="F15" i="19" s="1"/>
  <c r="E47" i="19"/>
  <c r="F47" i="19" s="1"/>
  <c r="E54" i="19"/>
  <c r="F54" i="19" s="1"/>
  <c r="E42" i="19"/>
  <c r="F42" i="19" s="1"/>
  <c r="E38" i="19"/>
  <c r="F38" i="19" s="1"/>
  <c r="E34" i="19"/>
  <c r="F34" i="19" s="1"/>
  <c r="E46" i="19"/>
  <c r="F46" i="19" s="1"/>
  <c r="E31" i="19"/>
  <c r="F31" i="19" s="1"/>
  <c r="E10" i="19"/>
  <c r="F10" i="19" s="1"/>
  <c r="E26" i="19"/>
  <c r="F26" i="19" s="1"/>
  <c r="E58" i="19"/>
  <c r="F58" i="19" s="1"/>
  <c r="E18" i="19"/>
  <c r="F18" i="19" s="1"/>
  <c r="E50" i="19"/>
  <c r="F50" i="19" s="1"/>
  <c r="E22" i="19"/>
  <c r="F22" i="19" s="1"/>
  <c r="E11" i="19"/>
  <c r="F11" i="19" s="1"/>
  <c r="E27" i="19"/>
  <c r="F27" i="19" s="1"/>
  <c r="E43" i="19"/>
  <c r="F43" i="19" s="1"/>
  <c r="E19" i="19"/>
  <c r="F19" i="19" s="1"/>
  <c r="E35" i="19"/>
  <c r="F35" i="19" s="1"/>
  <c r="E55" i="19"/>
  <c r="F55" i="19" s="1"/>
  <c r="E59" i="19"/>
  <c r="F59" i="19" s="1"/>
  <c r="E51" i="19"/>
  <c r="F51" i="19" s="1"/>
  <c r="Q5" i="1"/>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D12" i="2"/>
  <c r="F8" i="2"/>
  <c r="K8" i="2" s="1"/>
  <c r="D9" i="2"/>
  <c r="T6" i="1"/>
  <c r="B16" i="2"/>
  <c r="B17" i="2"/>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72" i="1"/>
  <c r="T76" i="1"/>
  <c r="T8" i="1"/>
  <c r="T20" i="1"/>
  <c r="T25" i="1"/>
  <c r="T31" i="1"/>
  <c r="T36" i="1"/>
  <c r="T44" i="1"/>
  <c r="T52" i="1"/>
  <c r="T54" i="1"/>
  <c r="T66" i="1"/>
  <c r="T69" i="1"/>
  <c r="T73" i="1"/>
  <c r="T80" i="1"/>
  <c r="T82" i="1"/>
  <c r="F14" i="2"/>
  <c r="J3" i="2"/>
  <c r="K9" i="2"/>
  <c r="J9" i="2"/>
  <c r="B13" i="2"/>
  <c r="K12" i="2"/>
  <c r="J12" i="2"/>
  <c r="J10" i="2"/>
  <c r="K10" i="2"/>
  <c r="F13" i="2"/>
  <c r="K3" i="2"/>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T14" i="1"/>
  <c r="T18" i="1"/>
  <c r="T24" i="1"/>
  <c r="T28" i="1"/>
  <c r="T30" i="1"/>
  <c r="T34" i="1"/>
  <c r="T38" i="1"/>
  <c r="T40" i="1"/>
  <c r="T42" i="1"/>
  <c r="T46" i="1"/>
  <c r="T48" i="1"/>
  <c r="T56" i="1"/>
  <c r="T64" i="1"/>
  <c r="T68" i="1"/>
  <c r="T78" i="1"/>
  <c r="G61" i="19" l="1"/>
  <c r="G62" i="19"/>
  <c r="G41" i="19"/>
  <c r="G9" i="19"/>
  <c r="G32" i="19"/>
  <c r="G19" i="19"/>
  <c r="G26" i="19"/>
  <c r="G33" i="19"/>
  <c r="G24" i="19"/>
  <c r="G27" i="19"/>
  <c r="G31" i="19"/>
  <c r="G15" i="19"/>
  <c r="G72" i="19"/>
  <c r="G63" i="19"/>
  <c r="G29" i="19"/>
  <c r="G52" i="19"/>
  <c r="G20" i="19"/>
  <c r="G11" i="19"/>
  <c r="G46" i="19"/>
  <c r="G30" i="19"/>
  <c r="G66" i="19"/>
  <c r="G69" i="19"/>
  <c r="G60" i="19"/>
  <c r="G57" i="19"/>
  <c r="G48" i="19"/>
  <c r="G22" i="19"/>
  <c r="G14" i="19"/>
  <c r="G75" i="19"/>
  <c r="G56" i="19"/>
  <c r="G25" i="19"/>
  <c r="G16" i="19"/>
  <c r="G51" i="19"/>
  <c r="G34" i="19"/>
  <c r="G78" i="19"/>
  <c r="G53" i="19"/>
  <c r="G21" i="19"/>
  <c r="G44" i="19"/>
  <c r="G12" i="19"/>
  <c r="G59" i="19"/>
  <c r="G50" i="19"/>
  <c r="G38" i="19"/>
  <c r="G39" i="19"/>
  <c r="G67" i="19"/>
  <c r="G64" i="19"/>
  <c r="G17" i="19"/>
  <c r="G18" i="19"/>
  <c r="G49" i="19"/>
  <c r="G40" i="19"/>
  <c r="G55" i="19"/>
  <c r="G42" i="19"/>
  <c r="G74" i="19"/>
  <c r="G70" i="19"/>
  <c r="G45" i="19"/>
  <c r="G13" i="19"/>
  <c r="G36" i="19"/>
  <c r="G35" i="19"/>
  <c r="G58" i="19"/>
  <c r="G54" i="19"/>
  <c r="G65" i="19"/>
  <c r="G76" i="19"/>
  <c r="G23" i="19"/>
  <c r="G73" i="19"/>
  <c r="G71" i="19"/>
  <c r="G37" i="19"/>
  <c r="G28" i="19"/>
  <c r="G43" i="19"/>
  <c r="G10" i="19"/>
  <c r="G47" i="19"/>
  <c r="G68" i="19"/>
  <c r="G77" i="19"/>
  <c r="D14" i="2"/>
  <c r="J14" i="2"/>
  <c r="K14" i="2"/>
  <c r="J8" i="2"/>
  <c r="K16" i="2"/>
  <c r="J16" i="2"/>
  <c r="B11" i="2"/>
  <c r="F11" i="2"/>
  <c r="D16" i="2"/>
  <c r="J17" i="2"/>
  <c r="K17" i="2"/>
  <c r="D11" i="2"/>
  <c r="K13" i="2"/>
  <c r="J13" i="2"/>
  <c r="H76" i="19" l="1"/>
  <c r="H62" i="19"/>
  <c r="I62" i="19"/>
  <c r="H67" i="19"/>
  <c r="H39" i="19"/>
  <c r="I67" i="19"/>
  <c r="H10" i="19"/>
  <c r="H46" i="19"/>
  <c r="I50" i="19"/>
  <c r="I39" i="19"/>
  <c r="I25" i="19"/>
  <c r="I52" i="19"/>
  <c r="H32" i="19"/>
  <c r="I65" i="19"/>
  <c r="I72" i="19"/>
  <c r="I74" i="19"/>
  <c r="H55" i="19"/>
  <c r="H23" i="19"/>
  <c r="I42" i="19"/>
  <c r="I10" i="19"/>
  <c r="H71" i="19"/>
  <c r="H38" i="19"/>
  <c r="I53" i="19"/>
  <c r="I21" i="19"/>
  <c r="H57" i="19"/>
  <c r="H25" i="19"/>
  <c r="I40" i="19"/>
  <c r="H60" i="19"/>
  <c r="H28" i="19"/>
  <c r="I56" i="19"/>
  <c r="I68" i="19"/>
  <c r="I35" i="19"/>
  <c r="I77" i="19"/>
  <c r="H51" i="19"/>
  <c r="H19" i="19"/>
  <c r="I38" i="19"/>
  <c r="H9" i="19"/>
  <c r="H34" i="19"/>
  <c r="H61" i="19"/>
  <c r="I49" i="19"/>
  <c r="I17" i="19"/>
  <c r="H21" i="19"/>
  <c r="I32" i="19"/>
  <c r="H56" i="19"/>
  <c r="H24" i="19"/>
  <c r="I44" i="19"/>
  <c r="I64" i="19"/>
  <c r="I31" i="19"/>
  <c r="I48" i="19"/>
  <c r="H47" i="19"/>
  <c r="H15" i="19"/>
  <c r="I34" i="19"/>
  <c r="I75" i="19"/>
  <c r="H63" i="19"/>
  <c r="H30" i="19"/>
  <c r="I57" i="19"/>
  <c r="H29" i="19"/>
  <c r="H65" i="19"/>
  <c r="H53" i="19"/>
  <c r="I45" i="19"/>
  <c r="I13" i="19"/>
  <c r="H49" i="19"/>
  <c r="H17" i="19"/>
  <c r="I24" i="19"/>
  <c r="H52" i="19"/>
  <c r="H20" i="19"/>
  <c r="I36" i="19"/>
  <c r="I59" i="19"/>
  <c r="I27" i="19"/>
  <c r="H43" i="19"/>
  <c r="H11" i="19"/>
  <c r="I30" i="19"/>
  <c r="I71" i="19"/>
  <c r="H58" i="19"/>
  <c r="H26" i="19"/>
  <c r="H78" i="19"/>
  <c r="H13" i="19"/>
  <c r="I16" i="19"/>
  <c r="H16" i="19"/>
  <c r="I28" i="19"/>
  <c r="I55" i="19"/>
  <c r="I23" i="19"/>
  <c r="H72" i="19"/>
  <c r="I58" i="19"/>
  <c r="I26" i="19"/>
  <c r="H22" i="19"/>
  <c r="I41" i="19"/>
  <c r="H45" i="19"/>
  <c r="H48" i="19"/>
  <c r="H54" i="19"/>
  <c r="I37" i="19"/>
  <c r="H74" i="19"/>
  <c r="H41" i="19"/>
  <c r="I66" i="19"/>
  <c r="H77" i="19"/>
  <c r="H44" i="19"/>
  <c r="H12" i="19"/>
  <c r="I20" i="19"/>
  <c r="I51" i="19"/>
  <c r="I19" i="19"/>
  <c r="H68" i="19"/>
  <c r="H35" i="19"/>
  <c r="I54" i="19"/>
  <c r="I22" i="19"/>
  <c r="I63" i="19"/>
  <c r="H50" i="19"/>
  <c r="H18" i="19"/>
  <c r="I70" i="19"/>
  <c r="I33" i="19"/>
  <c r="H70" i="19"/>
  <c r="H37" i="19"/>
  <c r="I69" i="19"/>
  <c r="H73" i="19"/>
  <c r="H40" i="19"/>
  <c r="I78" i="19"/>
  <c r="I12" i="19"/>
  <c r="I47" i="19"/>
  <c r="I15" i="19"/>
  <c r="H64" i="19"/>
  <c r="H31" i="19"/>
  <c r="I18" i="19"/>
  <c r="I9" i="19"/>
  <c r="H14" i="19"/>
  <c r="I61" i="19"/>
  <c r="I29" i="19"/>
  <c r="H66" i="19"/>
  <c r="H33" i="19"/>
  <c r="I60" i="19"/>
  <c r="H69" i="19"/>
  <c r="H36" i="19"/>
  <c r="I73" i="19"/>
  <c r="I76" i="19"/>
  <c r="I43" i="19"/>
  <c r="I11" i="19"/>
  <c r="H59" i="19"/>
  <c r="H27" i="19"/>
  <c r="I46" i="19"/>
  <c r="I14" i="19"/>
  <c r="H75" i="19"/>
  <c r="H42" i="19"/>
  <c r="J11"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sharedStrings.xml><?xml version="1.0" encoding="utf-8"?>
<sst xmlns="http://schemas.openxmlformats.org/spreadsheetml/2006/main" count="4362" uniqueCount="742">
  <si>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</si>
  <si>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</si>
  <si>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</si>
  <si>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</si>
  <si>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</si>
  <si>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</si>
  <si>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</si>
  <si>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</si>
  <si>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</si>
  <si>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</si>
  <si>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</si>
  <si>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</si>
  <si>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</si>
  <si>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</si>
  <si>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</si>
  <si>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</si>
  <si>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</si>
  <si>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</si>
  <si>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</si>
  <si>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</si>
  <si>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</si>
  <si>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</si>
  <si>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</si>
  <si>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</si>
  <si>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</si>
  <si>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</si>
  <si>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</si>
  <si>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</si>
  <si>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</si>
  <si>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</si>
  <si>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</si>
  <si>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</si>
  <si>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</si>
  <si>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</si>
  <si>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</si>
  <si>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</si>
  <si>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</si>
  <si>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</si>
  <si>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</si>
  <si>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</si>
  <si>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</si>
  <si>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</si>
  <si>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</si>
  <si>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</si>
  <si>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</si>
  <si>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</si>
  <si>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</si>
  <si>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</si>
  <si>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</si>
  <si>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</si>
  <si>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</si>
  <si>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</si>
  <si>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</si>
  <si>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</si>
  <si>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</si>
  <si>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</si>
  <si>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</si>
  <si>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</si>
  <si>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</si>
  <si>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</si>
  <si>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</si>
  <si>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</si>
  <si>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</si>
  <si>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</si>
  <si>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</si>
  <si>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</si>
  <si>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</si>
  <si>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</si>
  <si>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</si>
  <si>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</si>
  <si>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</si>
  <si>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</si>
  <si>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</si>
  <si>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</si>
  <si>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</si>
  <si>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</si>
  <si>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</si>
  <si>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</si>
  <si>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</si>
  <si>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</si>
  <si>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</si>
  <si>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</si>
  <si>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</si>
  <si>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</si>
  <si>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</si>
  <si>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</si>
  <si>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</si>
  <si>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</si>
  <si>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</si>
  <si>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</si>
  <si>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</si>
  <si>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</si>
  <si>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</si>
  <si>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</si>
  <si>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</si>
  <si>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</si>
  <si>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Ballarat</t>
  </si>
  <si>
    <t>Banyule</t>
  </si>
  <si>
    <t>Bass Coast</t>
  </si>
  <si>
    <t>Baw Baw</t>
  </si>
  <si>
    <t>Bayside</t>
  </si>
  <si>
    <t>Benalla</t>
  </si>
  <si>
    <t>Boroondara</t>
  </si>
  <si>
    <t>Brimbank</t>
  </si>
  <si>
    <t>Buloke</t>
  </si>
  <si>
    <t>Campaspe</t>
  </si>
  <si>
    <t>Cardinia</t>
  </si>
  <si>
    <t>Casey</t>
  </si>
  <si>
    <t>Colac-Otway</t>
  </si>
  <si>
    <t>Darebin</t>
  </si>
  <si>
    <t>East Gippsland</t>
  </si>
  <si>
    <t>Frankston</t>
  </si>
  <si>
    <t>Glen Eira</t>
  </si>
  <si>
    <t>Glenelg</t>
  </si>
  <si>
    <t>Golden Plains</t>
  </si>
  <si>
    <t>Greater Bendigo</t>
  </si>
  <si>
    <t>Greater Dandenong</t>
  </si>
  <si>
    <t>Greater Geelong</t>
  </si>
  <si>
    <t>Greater Shepparton</t>
  </si>
  <si>
    <t>Hindmarsh</t>
  </si>
  <si>
    <t>Hobsons Bay</t>
  </si>
  <si>
    <t>Horsham</t>
  </si>
  <si>
    <t>Hume</t>
  </si>
  <si>
    <t>Indigo</t>
  </si>
  <si>
    <t>Kingston</t>
  </si>
  <si>
    <t>Knox</t>
  </si>
  <si>
    <t>Latrobe</t>
  </si>
  <si>
    <t>Loddon</t>
  </si>
  <si>
    <t>Macedon Ranges</t>
  </si>
  <si>
    <t>Manningham</t>
  </si>
  <si>
    <t>Maribyrnong</t>
  </si>
  <si>
    <t>Maroondah</t>
  </si>
  <si>
    <t>Melbourne</t>
  </si>
  <si>
    <t>Melton</t>
  </si>
  <si>
    <t>Mildura</t>
  </si>
  <si>
    <t>Mitchell</t>
  </si>
  <si>
    <t>Monash</t>
  </si>
  <si>
    <t>Moonee Valley</t>
  </si>
  <si>
    <t>Moorabool</t>
  </si>
  <si>
    <t>Moreland</t>
  </si>
  <si>
    <t>Mornington Peninsula</t>
  </si>
  <si>
    <t>Moyne</t>
  </si>
  <si>
    <t>Nillumbik</t>
  </si>
  <si>
    <t>Northern Grampians</t>
  </si>
  <si>
    <t>Port Phillip</t>
  </si>
  <si>
    <t>Pyrenees</t>
  </si>
  <si>
    <t>South Gippsland</t>
  </si>
  <si>
    <t>Stonnington</t>
  </si>
  <si>
    <t>Surf Coast</t>
  </si>
  <si>
    <t>Swan Hill</t>
  </si>
  <si>
    <t>Wangaratta</t>
  </si>
  <si>
    <t>Wellington</t>
  </si>
  <si>
    <t xml:space="preserve">Whitehorse </t>
  </si>
  <si>
    <t>Whittlesea</t>
  </si>
  <si>
    <t>Wyndham</t>
  </si>
  <si>
    <t xml:space="preserve">Yarra </t>
  </si>
  <si>
    <t>Yarra Ranges</t>
  </si>
  <si>
    <t>Yarriambiack</t>
  </si>
  <si>
    <t>Warrnambool</t>
  </si>
  <si>
    <t>West Wimmera</t>
  </si>
  <si>
    <t>Wodonga</t>
  </si>
  <si>
    <t>Ararat</t>
  </si>
  <si>
    <t>Venues</t>
  </si>
  <si>
    <t>Relative to Victorian LGAs</t>
  </si>
  <si>
    <t>Abruzzo Club</t>
  </si>
  <si>
    <t>Aces Sporting Club</t>
  </si>
  <si>
    <t>Albion Charles Hotel</t>
  </si>
  <si>
    <t>Albion Hotel</t>
  </si>
  <si>
    <t>Alexandra House Sports Club</t>
  </si>
  <si>
    <t>All Seasons International Hotel Bendigo</t>
  </si>
  <si>
    <t>Altona Bowling Club</t>
  </si>
  <si>
    <t>Altona Sports Club</t>
  </si>
  <si>
    <t>American Hotel</t>
  </si>
  <si>
    <t>Amstel Golf Club</t>
  </si>
  <si>
    <t>Angel Tavern</t>
  </si>
  <si>
    <t>Anglesea Golf Club</t>
  </si>
  <si>
    <t>Ashley Hotel</t>
  </si>
  <si>
    <t>Austral Hotel</t>
  </si>
  <si>
    <t>Australian Croatian National Hall</t>
  </si>
  <si>
    <t>Bacchus Marsh Golf Club</t>
  </si>
  <si>
    <t>Bairnsdale Bowls Club</t>
  </si>
  <si>
    <t>Bairnsdale Club</t>
  </si>
  <si>
    <t>Bakers Arms Hotel</t>
  </si>
  <si>
    <t>Balaclava Hotel</t>
  </si>
  <si>
    <t>Ballarat Golf Club</t>
  </si>
  <si>
    <t>Ballarat Leagues Club</t>
  </si>
  <si>
    <t>Ballarat &amp; District Trotting Club</t>
  </si>
  <si>
    <t>Batman'S Hill On Collins</t>
  </si>
  <si>
    <t>Baxter Tavern Hotel Motel</t>
  </si>
  <si>
    <t>Bayswater Hotel</t>
  </si>
  <si>
    <t>Bell'S Hotel</t>
  </si>
  <si>
    <t>Bell Park Sport &amp; Recreation Club</t>
  </si>
  <si>
    <t>Benalla Bowls Club</t>
  </si>
  <si>
    <t>Benalla Golf Club</t>
  </si>
  <si>
    <t>Bendigo Stadium</t>
  </si>
  <si>
    <t>Bentleigh Club</t>
  </si>
  <si>
    <t>Berwick Inn Taverner</t>
  </si>
  <si>
    <t>Berwick Springs Hotel</t>
  </si>
  <si>
    <t>Birallee Tavern</t>
  </si>
  <si>
    <t>Blackburn Hotel</t>
  </si>
  <si>
    <t>Blazing Stump Hotel</t>
  </si>
  <si>
    <t>Blue Bell Hotel</t>
  </si>
  <si>
    <t>Boundary Taverner</t>
  </si>
  <si>
    <t>Bourke Hill'S Welcome Stranger</t>
  </si>
  <si>
    <t>Box Hill Golf Club</t>
  </si>
  <si>
    <t>Braybrook Hotel</t>
  </si>
  <si>
    <t>Bridge Inn Hotel</t>
  </si>
  <si>
    <t>Broadmeadows Sporting Club</t>
  </si>
  <si>
    <t>Browns Corner</t>
  </si>
  <si>
    <t>Bundoora Taverner</t>
  </si>
  <si>
    <t>Burvale Hotel</t>
  </si>
  <si>
    <t>Cardinia Club</t>
  </si>
  <si>
    <t>Casa D'Abruzzo Club</t>
  </si>
  <si>
    <t>Caulfield Glasshouse</t>
  </si>
  <si>
    <t>Century City Walk</t>
  </si>
  <si>
    <t>Chalambar Golf Club</t>
  </si>
  <si>
    <t>Chelsea Heights Hotel</t>
  </si>
  <si>
    <t>Cherry Hill Tavern</t>
  </si>
  <si>
    <t>Chirnside Park Country Club</t>
  </si>
  <si>
    <t>City Bowls Club Colac</t>
  </si>
  <si>
    <t>City Family Hotel</t>
  </si>
  <si>
    <t>City Memorial Bowls Club</t>
  </si>
  <si>
    <t>Clayton Bowls Club</t>
  </si>
  <si>
    <t>Clifton Springs Golf Club</t>
  </si>
  <si>
    <t>Clocks At Flinders Street Station</t>
  </si>
  <si>
    <t>Club Hotel</t>
  </si>
  <si>
    <t>Club Hotel (Ferntree Gully)</t>
  </si>
  <si>
    <t>Club Hotel (Warragul)</t>
  </si>
  <si>
    <t>Club Italia Sporting Club</t>
  </si>
  <si>
    <t>Club Kilsyth</t>
  </si>
  <si>
    <t>Club Laverton</t>
  </si>
  <si>
    <t>Club Leeds</t>
  </si>
  <si>
    <t>Club Ringwood</t>
  </si>
  <si>
    <t>Cobden Golf Club</t>
  </si>
  <si>
    <t>Cobram Hotel</t>
  </si>
  <si>
    <t>Colac Bowling Club</t>
  </si>
  <si>
    <t>Commercial Hotel (Camperdown)</t>
  </si>
  <si>
    <t>Commercial Hotel (Swan Hill)</t>
  </si>
  <si>
    <t>Commercial Taverner</t>
  </si>
  <si>
    <t>Coolaroo Taverner</t>
  </si>
  <si>
    <t>Corryong Sporting Complex</t>
  </si>
  <si>
    <t>Court House Hotel (Bacchus Marsh)</t>
  </si>
  <si>
    <t>Court House Hotel (Footscray)</t>
  </si>
  <si>
    <t>Court Jester Hotel</t>
  </si>
  <si>
    <t>Craig'S Royal Hotel</t>
  </si>
  <si>
    <t>Craigieburn Sporting Club</t>
  </si>
  <si>
    <t>Cramers Hotel</t>
  </si>
  <si>
    <t>Cross Keys Hotel</t>
  </si>
  <si>
    <t>Crown Hotel</t>
  </si>
  <si>
    <t>Croxton Park Hotel</t>
  </si>
  <si>
    <t>Croydon Hotel</t>
  </si>
  <si>
    <t>Cumberland Hotel</t>
  </si>
  <si>
    <t>Dandenong Club</t>
  </si>
  <si>
    <t>Dandenong Workers Social Club</t>
  </si>
  <si>
    <t>Dava Hotel</t>
  </si>
  <si>
    <t>Daylesford Bowling Club</t>
  </si>
  <si>
    <t>Deer Park Club</t>
  </si>
  <si>
    <t>Deer Park Hotel</t>
  </si>
  <si>
    <t>Derrimut Hotel</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</si>
  <si>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</si>
  <si>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</si>
  <si>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</si>
  <si>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</si>
  <si>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</si>
  <si>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</si>
  <si>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</si>
  <si>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</si>
  <si>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</si>
  <si>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</si>
  <si>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Edwardes Lake Hotel</t>
  </si>
  <si>
    <t>Elgin'S</t>
  </si>
  <si>
    <t>Elsternwick Hotel</t>
  </si>
  <si>
    <t>Eltham Hotel</t>
  </si>
  <si>
    <t>Epping Hotel</t>
  </si>
  <si>
    <t>Epping Plaza Hotel</t>
  </si>
  <si>
    <t>Esplanade Hotel (Inverloch)</t>
  </si>
  <si>
    <t>Excelsior Hotel</t>
  </si>
  <si>
    <t>Family Hotel</t>
  </si>
  <si>
    <t>Ferntree Gully Bowling Club</t>
  </si>
  <si>
    <t>Ferntree Gully Hotel</t>
  </si>
  <si>
    <t>First &amp; Last Hotel</t>
  </si>
  <si>
    <t>Flying Horse Bar And Brewery</t>
  </si>
  <si>
    <t>Foresters Arms Hotel</t>
  </si>
  <si>
    <t>Foster Golf Club</t>
  </si>
  <si>
    <t>Fountain Gate Taverner</t>
  </si>
  <si>
    <t>Freccia Azzurra Club</t>
  </si>
  <si>
    <t>Furlan Club</t>
  </si>
  <si>
    <t>Fyansford Hotel</t>
  </si>
  <si>
    <t>Gateway Hotel</t>
  </si>
  <si>
    <t>Geelong Combined Leagues Club</t>
  </si>
  <si>
    <t>George Hotel</t>
  </si>
  <si>
    <t>Gladstone Park Hotel</t>
  </si>
  <si>
    <t>Glengala Hotel</t>
  </si>
  <si>
    <t>Golden Fleece Hotel (Melton)</t>
  </si>
  <si>
    <t>Golden Nugget</t>
  </si>
  <si>
    <t>Golf House Hotel</t>
  </si>
  <si>
    <t>Gordon Hotel</t>
  </si>
  <si>
    <t>Goulburn Valley Hotel</t>
  </si>
  <si>
    <t>Grand Central Hotel (Hamilton)</t>
  </si>
  <si>
    <t>Grand Hotel (Frankston)</t>
  </si>
  <si>
    <t>Grand Hotel (Mornington)</t>
  </si>
  <si>
    <t>Grand Junction Hotel</t>
  </si>
  <si>
    <t>Grand Terminus Hotel</t>
  </si>
  <si>
    <t>Great Western Hotel</t>
  </si>
  <si>
    <t>Green Gully Soccer Club</t>
  </si>
  <si>
    <t>Greensborough Hotel</t>
  </si>
  <si>
    <t>Greyhounds Entertainment</t>
  </si>
  <si>
    <t>Grosvenor Hotel</t>
  </si>
  <si>
    <t>Grovedale Hotel</t>
  </si>
  <si>
    <t>Hallam Taverner</t>
  </si>
  <si>
    <t>Hampton Bowls Club</t>
  </si>
  <si>
    <t>Hampton Park Tavern</t>
  </si>
  <si>
    <t>Harp Of Erin Hotel</t>
  </si>
  <si>
    <t>Hastings Cricket &amp; Football Social Club</t>
  </si>
  <si>
    <t>Highett Returned &amp; Services Club</t>
  </si>
  <si>
    <t>Highlands Hotel</t>
  </si>
  <si>
    <t>Highpoint Taverner</t>
  </si>
  <si>
    <t>Highways Sandown</t>
  </si>
  <si>
    <t>Hill Top Golf And Country Club</t>
  </si>
  <si>
    <t>Hogans Hotel</t>
  </si>
  <si>
    <t>Hoppers Crossing Club</t>
  </si>
  <si>
    <t>Hoppers Crossing Sports Club</t>
  </si>
  <si>
    <t>Horsham Sports &amp; Community Club</t>
  </si>
  <si>
    <t>Hotel 520 On Sayers</t>
  </si>
  <si>
    <t>Italian Sports Club Of Werribee</t>
  </si>
  <si>
    <t>Ivanhoe Hotel</t>
  </si>
  <si>
    <t>Jokers On Ryrie</t>
  </si>
  <si>
    <t>Junction Hotel</t>
  </si>
  <si>
    <t>Kangaroo Flat Sports Club</t>
  </si>
  <si>
    <t>Karingal Bowling Club</t>
  </si>
  <si>
    <t>Kealba Hotel</t>
  </si>
  <si>
    <t>Keilor Hotel</t>
  </si>
  <si>
    <t>Kerang Sports And Entertainment Venue</t>
  </si>
  <si>
    <t>Keysborough Hotel</t>
  </si>
  <si>
    <t>Kilmore Trackside</t>
  </si>
  <si>
    <t>Kings Creek Hotel</t>
  </si>
  <si>
    <t>Kirkpatricks Hotel</t>
  </si>
  <si>
    <t>Knox Club</t>
  </si>
  <si>
    <t>Knox Tavern</t>
  </si>
  <si>
    <t>Kooringal Golf Club</t>
  </si>
  <si>
    <t>Korumburra Hotel</t>
  </si>
  <si>
    <t>Kyabram Club</t>
  </si>
  <si>
    <t>Kyneton Bowling Club</t>
  </si>
  <si>
    <t>Lakes Entrance Bowls Club</t>
  </si>
  <si>
    <t>Lakeside Club</t>
  </si>
  <si>
    <t>Lalor Bowling Club</t>
  </si>
  <si>
    <t>Langwarrin Hotel</t>
  </si>
  <si>
    <t>Lara Hotel</t>
  </si>
  <si>
    <t>Lara Sporting Club</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</si>
  <si>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</si>
  <si>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</si>
  <si>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</si>
  <si>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</si>
  <si>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</si>
  <si>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</si>
  <si>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</si>
  <si>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</si>
  <si>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</si>
  <si>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</si>
  <si>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</si>
  <si>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Manhattan Hotel</t>
  </si>
  <si>
    <t>Manningham Club</t>
  </si>
  <si>
    <t>Mansfield Golf Club</t>
  </si>
  <si>
    <t>Marine Hotel</t>
  </si>
  <si>
    <t>Maroondah Sports Club</t>
  </si>
  <si>
    <t>Maryborough Golf Club</t>
  </si>
  <si>
    <t>Maryborough Highland Society</t>
  </si>
  <si>
    <t>Matthew Flinders Taverner</t>
  </si>
  <si>
    <t>Mccartins Hotel</t>
  </si>
  <si>
    <t>Mckinnon Hotel</t>
  </si>
  <si>
    <t>Meadow Inn Hotel</t>
  </si>
  <si>
    <t>Melton Country Club</t>
  </si>
  <si>
    <t>Merbein Citizens Club</t>
  </si>
  <si>
    <t>Midlands Golf Club</t>
  </si>
  <si>
    <t>Milano'S Hotel</t>
  </si>
  <si>
    <t>Mildura Gateway Tavern</t>
  </si>
  <si>
    <t>Mildura Golf Club</t>
  </si>
  <si>
    <t>Millers Inn Hotel</t>
  </si>
  <si>
    <t>Mitcham Hotel</t>
  </si>
  <si>
    <t>Mitchell River Tavern</t>
  </si>
  <si>
    <t>Moe Hotel</t>
  </si>
  <si>
    <t>Moe Racing Club</t>
  </si>
  <si>
    <t>Monash Hotel</t>
  </si>
  <si>
    <t>Monbulk Bowling Club</t>
  </si>
  <si>
    <t>Moonee Valley Racing Club</t>
  </si>
  <si>
    <t>Mooroopna Golf Club</t>
  </si>
  <si>
    <t>Mordialloc Sporting Club</t>
  </si>
  <si>
    <t>Moreland Hotel</t>
  </si>
  <si>
    <t>Mornington On Tanti Hotel</t>
  </si>
  <si>
    <t>Morwell Bowling Club</t>
  </si>
  <si>
    <t>Morwell Club</t>
  </si>
  <si>
    <t>Morwell Hotel</t>
  </si>
  <si>
    <t>Motor Club Hotel</t>
  </si>
  <si>
    <t>Mountain View Hotel</t>
  </si>
  <si>
    <t>Mulgrave Country Club</t>
  </si>
  <si>
    <t>Myrtleford Savoy Sporting Club</t>
  </si>
  <si>
    <t>Nagambie Lakes Entertainment Centre</t>
  </si>
  <si>
    <t>Newmarket Tavern</t>
  </si>
  <si>
    <t>Noble Park Football Social Club</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</si>
  <si>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</si>
  <si>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</si>
  <si>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</si>
  <si>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</si>
  <si>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</si>
  <si>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</si>
  <si>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</si>
  <si>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</si>
  <si>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</si>
  <si>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</si>
  <si>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</si>
  <si>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</si>
  <si>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</si>
  <si>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</si>
  <si>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Taverner Hotel</t>
  </si>
  <si>
    <t>Peninsula Club</t>
  </si>
  <si>
    <t>Peninsula Hotel Motel</t>
  </si>
  <si>
    <t>Peppermill Inn Hotel Motel</t>
  </si>
  <si>
    <t>Phoenix Hotel</t>
  </si>
  <si>
    <t>Pier Hotel</t>
  </si>
  <si>
    <t>Pinsent Hotel</t>
  </si>
  <si>
    <t>Players Hotel</t>
  </si>
  <si>
    <t>Players On Lygon</t>
  </si>
  <si>
    <t>Plough Hotel</t>
  </si>
  <si>
    <t>Polish Community Assoc In Geelong</t>
  </si>
  <si>
    <t>Portarlington Golf Club</t>
  </si>
  <si>
    <t>Portland Football Netball Cricket Club</t>
  </si>
  <si>
    <t>Powell Hotel</t>
  </si>
  <si>
    <t>Prahran Football Social Club</t>
  </si>
  <si>
    <t>Preston Hotel</t>
  </si>
  <si>
    <t>Prince Mark Hotel</t>
  </si>
  <si>
    <t>Punters Palace</t>
  </si>
  <si>
    <t>Racecourse Hotel (Malvern East)</t>
  </si>
  <si>
    <t>Racecourse Hotel (Werribee)</t>
  </si>
  <si>
    <t>Rafferty'S Tavern</t>
  </si>
  <si>
    <t>Railway Club Hotel</t>
  </si>
  <si>
    <t>Red Cliffs Club</t>
  </si>
  <si>
    <t>Red Lion Hotel</t>
  </si>
  <si>
    <t>Rifle Club Hotel</t>
  </si>
  <si>
    <t>Rising Sun Hotel</t>
  </si>
  <si>
    <t>Riversdale Hotel</t>
  </si>
  <si>
    <t>Riviera Hotel</t>
  </si>
  <si>
    <t>Robin Hood Hotel</t>
  </si>
  <si>
    <t>Robinvale Golf Club</t>
  </si>
  <si>
    <t>Rosebud Country Club</t>
  </si>
  <si>
    <t>Rosebud Hotel</t>
  </si>
  <si>
    <t>Rosstown Hotel</t>
  </si>
  <si>
    <t>Roxburgh Park Hotel</t>
  </si>
  <si>
    <t>Royal Exchange Hotel</t>
  </si>
  <si>
    <t>Royal Hotel (Benalla)</t>
  </si>
  <si>
    <t>Royal Hotel (Daylesford)</t>
  </si>
  <si>
    <t>Royal Hotel (Essendon)</t>
  </si>
  <si>
    <t>Royal Hotel (Sunbury)</t>
  </si>
  <si>
    <t>Royal Oak Hotel</t>
  </si>
  <si>
    <t>Royal Oak Richmond</t>
  </si>
  <si>
    <t>Rubicon Hotel</t>
  </si>
  <si>
    <t>Rye Hotel</t>
  </si>
  <si>
    <t>Sale &amp; District Greyhound Racing Club</t>
  </si>
  <si>
    <t>Sanctuary Lakes Hotel</t>
  </si>
  <si>
    <t>Sandbelt Club Hotel</t>
  </si>
  <si>
    <t>Sandown Park Hotel</t>
  </si>
  <si>
    <t>Sandringham Hotel</t>
  </si>
  <si>
    <t>Sands Taverner</t>
  </si>
  <si>
    <t>Seaford Taverner</t>
  </si>
  <si>
    <t>Seagulls Nest</t>
  </si>
  <si>
    <t>Sebastopol Bowling Club</t>
  </si>
  <si>
    <t>Seymour Club</t>
  </si>
  <si>
    <t>Shamrock Hotel</t>
  </si>
  <si>
    <t>Shanghai Club</t>
  </si>
  <si>
    <t>Shell Club</t>
  </si>
  <si>
    <t>Shepparton Club</t>
  </si>
  <si>
    <t>Sherbourne Terrace</t>
  </si>
  <si>
    <t>Shoppingtown Hotel</t>
  </si>
  <si>
    <t>Sir Henry Barkly Hotel</t>
  </si>
  <si>
    <t>Skyways Taverner</t>
  </si>
  <si>
    <t>Somerville Hotel</t>
  </si>
  <si>
    <t>South Oakleigh Club</t>
  </si>
  <si>
    <t>Sphinx Entertainment Centre</t>
  </si>
  <si>
    <t>Sporting Legends Club</t>
  </si>
  <si>
    <t>St Albans Hotel</t>
  </si>
  <si>
    <t>St Albans Sports Club</t>
  </si>
  <si>
    <t>St Arnaud Sporting Club</t>
  </si>
  <si>
    <t>St George Workers Club</t>
  </si>
  <si>
    <t>St Kilda Army &amp; Navy Club</t>
  </si>
  <si>
    <t>St Kilda Football Social Club</t>
  </si>
  <si>
    <t>Stamford Hotel</t>
  </si>
  <si>
    <t>Star Hotel (Sale)</t>
  </si>
  <si>
    <t>Stawell Harness Racing Club</t>
  </si>
  <si>
    <t>Steeples</t>
  </si>
  <si>
    <t>Stoneys Club</t>
  </si>
  <si>
    <t>Sugar Gum Hotel</t>
  </si>
  <si>
    <t>Summerhill Hotel</t>
  </si>
  <si>
    <t>Sunbury Bowling Club</t>
  </si>
  <si>
    <t>Sunbury United Sporting Club</t>
  </si>
  <si>
    <t>Sunshine City Club</t>
  </si>
  <si>
    <t>Swan Hill Club</t>
  </si>
  <si>
    <t>Sylvania Hotel</t>
  </si>
  <si>
    <t>Tabcorp Park</t>
  </si>
  <si>
    <t>Tankerville Arms Hotel</t>
  </si>
  <si>
    <t>Taylors Lakes Family Hotel</t>
  </si>
  <si>
    <t>Templestowe Hotel</t>
  </si>
  <si>
    <t>The Beach</t>
  </si>
  <si>
    <t>The Club</t>
  </si>
  <si>
    <t>Tooradin &amp; District Sports Club</t>
  </si>
  <si>
    <t>Torquay Hotel</t>
  </si>
  <si>
    <t>Tower Hotel</t>
  </si>
  <si>
    <t>Traralgon Bowls Club</t>
  </si>
  <si>
    <t>Trios Sports Club</t>
  </si>
  <si>
    <t>Tudor Inn Hotel</t>
  </si>
  <si>
    <t>Union Club Hotel</t>
  </si>
  <si>
    <t>Vegas At Waverley Gardens</t>
  </si>
  <si>
    <t>Veneto Club</t>
  </si>
  <si>
    <t>Victoria Hotel (Shepparton)</t>
  </si>
  <si>
    <t>Victorian Tavern</t>
  </si>
  <si>
    <t>Village Belle Hotel</t>
  </si>
  <si>
    <t>Village Green Hotel</t>
  </si>
  <si>
    <t>Vine Hotel Richmond</t>
  </si>
  <si>
    <t>Waltzing Matilda Hotel</t>
  </si>
  <si>
    <t>Wangaratta Club</t>
  </si>
  <si>
    <t>Wantirna Club</t>
  </si>
  <si>
    <t>Wantirna Hill Club</t>
  </si>
  <si>
    <t>Warragul Club</t>
  </si>
  <si>
    <t>Warragul Country Club</t>
  </si>
  <si>
    <t>Warrnambool Bowls Club</t>
  </si>
  <si>
    <t>Warrnambool Football Club Social Club</t>
  </si>
  <si>
    <t>Watergardens Hotel</t>
  </si>
  <si>
    <t>Waterloo Cup Hotel</t>
  </si>
  <si>
    <t>Waurn Ponds Hotel</t>
  </si>
  <si>
    <t>Werribee Plaza Tavern</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</si>
  <si>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</si>
  <si>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</si>
  <si>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</si>
  <si>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</si>
  <si>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</si>
  <si>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</si>
  <si>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</si>
  <si>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</si>
  <si>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</si>
  <si>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</si>
  <si>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</si>
  <si>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</si>
  <si>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</si>
  <si>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</si>
  <si>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Yarraville-Footscray Bowling Club</t>
  </si>
  <si>
    <t>Yarraville Club</t>
  </si>
  <si>
    <t>Yarraville Club Cricket Club</t>
  </si>
  <si>
    <t>York On Lilydale Taverner Resort</t>
  </si>
  <si>
    <t>Zagame'S Caulfield Club Hotel</t>
  </si>
  <si>
    <t>Club</t>
  </si>
  <si>
    <t>Metro</t>
  </si>
  <si>
    <t>Hotel</t>
  </si>
  <si>
    <t>Country</t>
  </si>
  <si>
    <t>Queenscliff Bowling Tennis And Croquet C</t>
  </si>
  <si>
    <t>Sportspark Gaming And Entertainment Cent</t>
  </si>
  <si>
    <t>Data</t>
  </si>
  <si>
    <t>Adj Data</t>
  </si>
  <si>
    <t>Rank</t>
  </si>
  <si>
    <t xml:space="preserve">Region </t>
  </si>
  <si>
    <t>Cardinia Park Hotel</t>
  </si>
  <si>
    <t>Mildura Working Mans Sports &amp; Social Clu</t>
  </si>
  <si>
    <t>Rose Shamrock &amp; Thistle Hotel</t>
  </si>
  <si>
    <t>Star Hotel Bright</t>
  </si>
  <si>
    <t>Terminus Hotel</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</si>
  <si>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</si>
  <si>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</si>
  <si>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</si>
  <si>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</si>
  <si>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</si>
  <si>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 xml:space="preserve">Venues </t>
  </si>
  <si>
    <t>EGMs</t>
  </si>
  <si>
    <t>*</t>
  </si>
  <si>
    <t>-</t>
  </si>
  <si>
    <t>EGM Gambling Losses per day</t>
  </si>
  <si>
    <t>Victoria</t>
  </si>
  <si>
    <t>Melbourne metro.</t>
  </si>
  <si>
    <t>Club Officer</t>
  </si>
  <si>
    <t>Headquarters Tavern</t>
  </si>
  <si>
    <t>Expenditure</t>
  </si>
  <si>
    <t>EGM numbers</t>
  </si>
  <si>
    <t>Attached Entitlements: 2016</t>
  </si>
  <si>
    <t>Valley Inn Hotel</t>
  </si>
  <si>
    <t>Castello'S Cardinia Hotel</t>
  </si>
  <si>
    <t>Grand On Deakin</t>
  </si>
  <si>
    <t>Mvrc Junction Club</t>
  </si>
  <si>
    <t>Mvrc Leighoak Club</t>
  </si>
  <si>
    <t>Newborough Bowling Club</t>
  </si>
  <si>
    <t>Diamond Creek Hotel</t>
  </si>
  <si>
    <t>Pullman Melbourne On Swanston</t>
  </si>
  <si>
    <t>Number of venues</t>
  </si>
  <si>
    <t>Ave Losses per venue</t>
  </si>
  <si>
    <t>Expenditure (millions)</t>
  </si>
  <si>
    <t>Bairnsdale Sporting And Convention Centr</t>
  </si>
  <si>
    <t>Essendon Football &amp; Community Sporting C</t>
  </si>
  <si>
    <t>Italian Australian Sporting And Social C</t>
  </si>
  <si>
    <t>Figures from LGA-level Monthly Data, for comparison</t>
  </si>
  <si>
    <r>
      <t xml:space="preserve">   Select a comparison locality  </t>
    </r>
    <r>
      <rPr>
        <sz val="9"/>
        <color indexed="8"/>
        <rFont val="Wingdings 2"/>
        <family val="1"/>
        <charset val="2"/>
      </rPr>
      <t>K</t>
    </r>
    <r>
      <rPr>
        <sz val="9"/>
        <color indexed="8"/>
        <rFont val="Palatino"/>
        <family val="1"/>
      </rPr>
      <t xml:space="preserve">   </t>
    </r>
  </si>
  <si>
    <r>
      <t>% Change in Losses</t>
    </r>
    <r>
      <rPr>
        <i/>
        <sz val="10"/>
        <color indexed="59"/>
        <rFont val="Palatino"/>
        <family val="1"/>
      </rPr>
      <t xml:space="preserve"> </t>
    </r>
    <r>
      <rPr>
        <sz val="8"/>
        <color indexed="59"/>
        <rFont val="Palatino"/>
        <family val="1"/>
      </rPr>
      <t>- adjusted for Inflation (3)</t>
    </r>
  </si>
  <si>
    <t>Brighton Beach Hotel</t>
  </si>
  <si>
    <t xml:space="preserve">Ven type </t>
  </si>
  <si>
    <t>Altona Rsl</t>
  </si>
  <si>
    <t>Ararat Rsl</t>
  </si>
  <si>
    <t>Bairnsdale Rsl</t>
  </si>
  <si>
    <t>Ballarat Club Hotel</t>
  </si>
  <si>
    <t>Bendigo District Rsl Club</t>
  </si>
  <si>
    <t>Bentleigh Rsl</t>
  </si>
  <si>
    <t>Boronia Club Hotel</t>
  </si>
  <si>
    <t>Box Hill Rsl</t>
  </si>
  <si>
    <t>Caulfield Rsl</t>
  </si>
  <si>
    <t>Cheltenham Moorabbin Rsl</t>
  </si>
  <si>
    <t>Clayton Rsl</t>
  </si>
  <si>
    <t>Colac Rsl</t>
  </si>
  <si>
    <t>Cranbourne Silks</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</si>
  <si>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</si>
  <si>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</si>
  <si>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</si>
  <si>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</si>
  <si>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</si>
  <si>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</si>
  <si>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</si>
  <si>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</si>
  <si>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</si>
  <si>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</si>
  <si>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</si>
  <si>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</si>
  <si>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</si>
  <si>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</si>
  <si>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</si>
  <si>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Malvernvale Hotel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</si>
  <si>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</si>
  <si>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</si>
  <si>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</si>
  <si>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</si>
  <si>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</si>
  <si>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</si>
  <si>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</si>
  <si>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</si>
  <si>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</si>
  <si>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</si>
  <si>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</si>
  <si>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</si>
  <si>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</si>
  <si>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Seaford Rsl</t>
  </si>
  <si>
    <t>Shepparton Rsl</t>
  </si>
  <si>
    <t>Springvale Rsl Club</t>
  </si>
  <si>
    <t>Sunbury Social Club</t>
  </si>
  <si>
    <t>Sunshine Rsl</t>
  </si>
  <si>
    <t>Swan Hill Rsl</t>
  </si>
  <si>
    <t>Traralgon Rsl</t>
  </si>
  <si>
    <t>Upper Yarra Rsl</t>
  </si>
  <si>
    <t>Wangaratta Rsl</t>
  </si>
  <si>
    <t>Warrnambool Rsl</t>
  </si>
  <si>
    <t>Watsonia Rsl</t>
  </si>
  <si>
    <t>Waverley Rsl Club</t>
  </si>
  <si>
    <t>Werribee Rsl</t>
  </si>
  <si>
    <t>West Heidelberg Rsl</t>
  </si>
  <si>
    <t>Expenditure 01 Jul 22 - 30 Jun 23</t>
  </si>
  <si>
    <t>Average EGM Numbers June 2023</t>
  </si>
  <si>
    <t xml:space="preserve"> -   </t>
  </si>
  <si>
    <t>The Bay &amp; Bridge Hotel</t>
  </si>
  <si>
    <t>The Bendigo Club</t>
  </si>
  <si>
    <t>The Borough Club</t>
  </si>
  <si>
    <t>The Bridge Hotel</t>
  </si>
  <si>
    <t>The Brook On Sneydes</t>
  </si>
  <si>
    <t>The Brunswick Club</t>
  </si>
  <si>
    <t>The Camden Town Hotel</t>
  </si>
  <si>
    <t>The Chase Hotel</t>
  </si>
  <si>
    <t>The Clayton Hotel</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</si>
  <si>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</si>
  <si>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</si>
  <si>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</si>
  <si>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</si>
  <si>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</si>
  <si>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</si>
  <si>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</si>
  <si>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</si>
  <si>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</si>
  <si>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</si>
  <si>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</si>
  <si>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</si>
  <si>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Pink Hill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</si>
  <si>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</si>
  <si>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</si>
  <si>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</si>
  <si>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</si>
  <si>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</si>
  <si>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</si>
  <si>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</si>
  <si>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</si>
  <si>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</si>
  <si>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</si>
  <si>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</si>
  <si>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2024 June</t>
  </si>
  <si>
    <r>
      <t xml:space="preserve">Adult pop. 2023 </t>
    </r>
    <r>
      <rPr>
        <sz val="7"/>
        <color rgb="FF000080"/>
        <rFont val="Garamond"/>
        <family val="1"/>
      </rPr>
      <t>(as at left, adjusted by % 2023 pop in Vic forecasts who were adults)</t>
    </r>
  </si>
  <si>
    <t>Losses 23/24 ($Million)</t>
  </si>
  <si>
    <t>3  Calculated using the CPI indicies for Melbourne</t>
  </si>
  <si>
    <t>Name</t>
  </si>
  <si>
    <t>Type</t>
  </si>
  <si>
    <t>Bleakhouse Hotel</t>
  </si>
  <si>
    <t>Central Point Melbourne</t>
  </si>
  <si>
    <t>Club Eastwood</t>
  </si>
  <si>
    <t>Club Tarneit</t>
  </si>
  <si>
    <t>Golden Point Hotel</t>
  </si>
  <si>
    <t>Melton Entertainment Park</t>
  </si>
  <si>
    <t>Newport Social</t>
  </si>
  <si>
    <t>Portland Memorial Bowling Club</t>
  </si>
  <si>
    <t>The Brass Monkey On Lonsdale</t>
  </si>
  <si>
    <t>2025 June</t>
  </si>
  <si>
    <t>Losses 24/25 ($Million)</t>
  </si>
  <si>
    <t>Total Population 2024 (ABS Regional Pop.)</t>
  </si>
  <si>
    <t>Venues mid-2025</t>
  </si>
  <si>
    <t>EGMs June 2025</t>
  </si>
  <si>
    <t>EGMs per 1,000 adults:
 2025</t>
  </si>
  <si>
    <t>Ranked EGMs per 1,000 adults: 2025</t>
  </si>
  <si>
    <t>Ranked Losses: 
20244/2025</t>
  </si>
  <si>
    <t>Losses per adult: 2024/25</t>
  </si>
  <si>
    <t>Ranked losses per adult: 2024/25</t>
  </si>
  <si>
    <t>Per cent change in losses: 
 2023/24 to 2024/25</t>
  </si>
  <si>
    <t>Per cent change in losses adjusted for inflation: 
 2023/24 to 2024/25</t>
  </si>
  <si>
    <t>Ranked per cent change in losses:
2023/24 to 2024/25</t>
  </si>
  <si>
    <r>
      <t xml:space="preserve">Venues: 2025 </t>
    </r>
    <r>
      <rPr>
        <b/>
        <sz val="8"/>
        <color indexed="18"/>
        <rFont val="Palatino"/>
      </rPr>
      <t xml:space="preserve">[includes venues with </t>
    </r>
    <r>
      <rPr>
        <b/>
        <u/>
        <sz val="8"/>
        <color indexed="18"/>
        <rFont val="Palatino"/>
      </rPr>
      <t>no</t>
    </r>
    <r>
      <rPr>
        <b/>
        <sz val="8"/>
        <color indexed="18"/>
        <rFont val="Palatino"/>
      </rPr>
      <t xml:space="preserve"> attached EGMs] </t>
    </r>
    <r>
      <rPr>
        <sz val="8"/>
        <color indexed="18"/>
        <rFont val="Palatino"/>
      </rPr>
      <t>(1)</t>
    </r>
  </si>
  <si>
    <t>Note: venues which are closed are not counted among the venue totals given above. However, where a venue is now closed, but registered expenditure during 2024/25, that expenditure is counted here, and it is listed in the sheet 'Venue Data', resulting in a few small disparities between the number of venues listed in that venue level data, and those counted here.</t>
  </si>
  <si>
    <t>EGM Gambing Losses 2024/2025</t>
  </si>
  <si>
    <r>
      <t xml:space="preserve">Losses per Adult 2024/2025 </t>
    </r>
    <r>
      <rPr>
        <sz val="8"/>
        <color indexed="18"/>
        <rFont val="Palatino"/>
      </rPr>
      <t>(2)</t>
    </r>
  </si>
  <si>
    <t>% Change in Losses in year 2024/2025</t>
  </si>
  <si>
    <r>
      <t xml:space="preserve">                                                                                                Select a locality, below    </t>
    </r>
    <r>
      <rPr>
        <sz val="9"/>
        <color indexed="8"/>
        <rFont val="Wingdings 2"/>
        <family val="1"/>
        <charset val="2"/>
      </rPr>
      <t>K</t>
    </r>
    <r>
      <rPr>
        <sz val="9"/>
        <color indexed="8"/>
        <rFont val="Palatino"/>
        <family val="1"/>
      </rPr>
      <t xml:space="preserve">   </t>
    </r>
  </si>
  <si>
    <r>
      <t>Updated:</t>
    </r>
    <r>
      <rPr>
        <b/>
        <sz val="8"/>
        <color theme="1"/>
        <rFont val="Palatino"/>
        <family val="1"/>
      </rPr>
      <t xml:space="preserve">  August, 2025</t>
    </r>
  </si>
  <si>
    <t xml:space="preserve">Sources of data used here: Victorian Gambling and Casino Control Commission 2025 (EGM gambling losses and EGM numbers), the Victorian Department of Environment, Land, Water and Planning (est. population by age, 2023), and Australian Bureau of Statistics 2025  (estimated municipal population 2024). </t>
  </si>
  <si>
    <t xml:space="preserve">1  From VGCCC, Gaming Expenditure by venue, featuring EGM numbers as at mid-2025 and venues as at June 2025. </t>
  </si>
  <si>
    <t>2  Based on losses published by the VGCCC in July 2025, divided by the estimated adult populations for 2024, from Regional Population Estimates, ABS (for total pop. and % adults)</t>
  </si>
  <si>
    <r>
      <t xml:space="preserve">Attached EGMs: June 2025 </t>
    </r>
    <r>
      <rPr>
        <sz val="8"/>
        <color rgb="FF000080"/>
        <rFont val="Palatino"/>
      </rPr>
      <t xml:space="preserve">  (1)</t>
    </r>
  </si>
  <si>
    <r>
      <t>EGMs per 1,000 Adults: 2024/2025  (</t>
    </r>
    <r>
      <rPr>
        <sz val="8"/>
        <color rgb="FF000080"/>
        <rFont val="Palatino"/>
      </rPr>
      <t>2)</t>
    </r>
  </si>
  <si>
    <t>Cherry Hill Hotel</t>
  </si>
  <si>
    <t>Magpie And Stump Hotel</t>
  </si>
  <si>
    <t>Rose Shamrock Hotel</t>
  </si>
  <si>
    <t>The Epsom</t>
  </si>
  <si>
    <t>The Sands Hotel</t>
  </si>
  <si>
    <t>LGA</t>
  </si>
  <si>
    <t>Average EGM Numbers  
in June 2025</t>
  </si>
  <si>
    <t>Number of EGMs</t>
  </si>
  <si>
    <t>Location</t>
  </si>
  <si>
    <t>EGMs per 1,000 adults: 2024/25</t>
  </si>
  <si>
    <t>Per cent change in losses:  2023/24 to 2024/25</t>
  </si>
  <si>
    <t>Electronic Gambling Machine Venue Level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</si>
</sst>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Times New Roman"/>
      <family val="1"/>
    </font>
    <font>
      <sz val="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sz val="10"/>
      <name val="Arial"/>
      <family val="2"/>
    </font>
    <font>
      <sz val="6.5"/>
      <color indexed="18"/>
      <name val="Palatino"/>
      <family val="1"/>
    </font>
    <font>
      <sz val="6"/>
      <name val="Times New Roman"/>
      <family val="1"/>
    </font>
    <font>
      <sz val="7"/>
      <name val="Garamond"/>
      <family val="1"/>
    </font>
    <font>
      <sz val="11"/>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9"/>
      <color indexed="81"/>
      <name val="Tahoma"/>
      <family val="2"/>
    </font>
    <font>
      <u/>
      <sz val="11.5"/>
      <color theme="10"/>
      <name val="Arial"/>
      <family val="2"/>
    </font>
    <font>
      <sz val="8"/>
      <color indexed="18"/>
      <name val="Palatino"/>
    </font>
    <font>
      <b/>
      <sz val="8"/>
      <name val="Calibri"/>
      <family val="2"/>
      <scheme val="minor"/>
    </font>
    <font>
      <b/>
      <sz val="9"/>
      <name val="Calibri"/>
      <family val="2"/>
      <scheme val="minor"/>
    </font>
    <font>
      <u/>
      <sz val="10"/>
      <color indexed="12"/>
      <name val="Arial"/>
      <family val="2"/>
    </font>
    <font>
      <b/>
      <sz val="16"/>
      <name val="Calibri"/>
      <family val="2"/>
      <scheme val="minor"/>
    </font>
    <font>
      <b/>
      <sz val="9"/>
      <color theme="3" tint="-0.499984740745262"/>
      <name val="Calibri"/>
      <family val="2"/>
      <scheme val="minor"/>
    </font>
    <font>
      <b/>
      <sz val="10"/>
      <color rgb="FFFFFF00"/>
      <name val="Calibri"/>
      <family val="2"/>
      <scheme val="minor"/>
    </font>
    <font>
      <sz val="10"/>
      <color theme="0"/>
      <name val="Arial"/>
      <family val="2"/>
    </font>
    <font>
      <sz val="20"/>
      <name val="Garamond"/>
      <family val="1"/>
    </font>
    <font>
      <sz val="9"/>
      <color rgb="FF000000"/>
      <name val="Calibri"/>
      <family val="2"/>
      <scheme val="minor"/>
    </font>
    <font>
      <sz val="6"/>
      <color theme="1"/>
      <name val="Arial"/>
      <family val="2"/>
    </font>
    <font>
      <sz val="7"/>
      <color theme="1"/>
      <name val="Garamond"/>
      <family val="1"/>
    </font>
    <font>
      <sz val="7"/>
      <color rgb="FF000080"/>
      <name val="Garamond"/>
      <family val="1"/>
    </font>
    <font>
      <sz val="8"/>
      <color theme="0"/>
      <name val="Arial"/>
      <family val="2"/>
    </font>
    <font>
      <sz val="8"/>
      <color theme="0"/>
      <name val="Calibri"/>
      <family val="2"/>
      <scheme val="minor"/>
    </font>
    <font>
      <sz val="9"/>
      <color theme="1"/>
      <name val="Arial"/>
      <family val="2"/>
    </font>
    <font>
      <b/>
      <sz val="7"/>
      <name val="Calibri"/>
      <family val="2"/>
      <scheme val="minor"/>
    </font>
    <font>
      <sz val="8"/>
      <color rgb="FF000080"/>
      <name val="Palatino"/>
    </font>
    <font>
      <b/>
      <sz val="9"/>
      <color rgb="FFFFFF00"/>
      <name val="Calibri"/>
      <family val="2"/>
      <scheme val="minor"/>
    </font>
  </fonts>
  <fills count="18">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21">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right/>
      <top style="hair">
        <color auto="1"/>
      </top>
      <bottom style="hair">
        <color auto="1"/>
      </bottom>
      <diagonal/>
    </border>
    <border>
      <left/>
      <right/>
      <top style="hair">
        <color indexed="18"/>
      </top>
      <bottom style="double">
        <color theme="1"/>
      </bottom>
      <diagonal/>
    </border>
    <border>
      <left/>
      <right/>
      <top style="hair">
        <color auto="1"/>
      </top>
      <bottom style="hair">
        <color auto="1"/>
      </bottom>
      <diagonal/>
    </border>
  </borders>
  <cellStyleXfs count="17">
    <xf numFmtId="0" fontId="0" fillId="0" borderId="0"/>
    <xf numFmtId="43" fontId="4"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18" fillId="0" borderId="0"/>
    <xf numFmtId="0" fontId="5" fillId="0" borderId="0"/>
    <xf numFmtId="0" fontId="18" fillId="2" borderId="1">
      <alignment vertical="center"/>
      <protection locked="0"/>
    </xf>
    <xf numFmtId="0" fontId="4" fillId="0" borderId="0"/>
    <xf numFmtId="0" fontId="57"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61" fillId="0" borderId="0" applyNumberFormat="0" applyFill="0" applyBorder="0" applyAlignment="0" applyProtection="0">
      <alignment vertical="top"/>
      <protection locked="0"/>
    </xf>
  </cellStyleXfs>
  <cellXfs count="194">
    <xf numFmtId="0" fontId="0" fillId="0" borderId="0" xfId="0"/>
    <xf numFmtId="0" fontId="12" fillId="0" borderId="2" xfId="0" applyFont="1" applyBorder="1" applyAlignment="1" applyProtection="1">
      <alignment horizontal="left" vertical="center"/>
      <protection hidden="1"/>
    </xf>
    <xf numFmtId="164" fontId="12" fillId="0" borderId="3" xfId="0" applyNumberFormat="1" applyFont="1" applyBorder="1" applyAlignment="1" applyProtection="1">
      <alignment horizontal="left" vertical="center"/>
      <protection hidden="1"/>
    </xf>
    <xf numFmtId="0" fontId="16" fillId="0" borderId="4" xfId="0" applyFont="1" applyBorder="1" applyAlignment="1" applyProtection="1">
      <alignment horizontal="right" vertical="center"/>
      <protection hidden="1"/>
    </xf>
    <xf numFmtId="0" fontId="15" fillId="0" borderId="3" xfId="0" applyFont="1" applyBorder="1" applyAlignment="1" applyProtection="1">
      <alignment horizontal="right" vertical="center" indent="1"/>
      <protection hidden="1"/>
    </xf>
    <xf numFmtId="0" fontId="6" fillId="0" borderId="0" xfId="0" applyFont="1" applyAlignment="1" applyProtection="1">
      <alignment vertical="center"/>
      <protection hidden="1"/>
    </xf>
    <xf numFmtId="0" fontId="8" fillId="0" borderId="0" xfId="0" applyFont="1" applyAlignment="1" applyProtection="1">
      <alignment horizontal="center" vertical="center"/>
      <protection locked="0" hidden="1"/>
    </xf>
    <xf numFmtId="8" fontId="6" fillId="0" borderId="0" xfId="0" applyNumberFormat="1" applyFont="1" applyAlignment="1" applyProtection="1">
      <alignment vertical="center"/>
      <protection hidden="1"/>
    </xf>
    <xf numFmtId="4" fontId="6" fillId="0" borderId="0" xfId="0" applyNumberFormat="1" applyFont="1" applyAlignment="1" applyProtection="1">
      <alignment vertical="center"/>
      <protection hidden="1"/>
    </xf>
    <xf numFmtId="0" fontId="12" fillId="0" borderId="4"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3" fontId="12" fillId="0" borderId="4" xfId="0" applyNumberFormat="1" applyFont="1" applyBorder="1" applyAlignment="1" applyProtection="1">
      <alignment horizontal="right" vertical="center"/>
      <protection hidden="1"/>
    </xf>
    <xf numFmtId="0" fontId="7" fillId="0" borderId="0" xfId="0" applyFont="1" applyProtection="1">
      <protection hidden="1"/>
    </xf>
    <xf numFmtId="3" fontId="7" fillId="3" borderId="5" xfId="5" applyNumberFormat="1" applyFont="1" applyFill="1" applyBorder="1" applyProtection="1">
      <protection hidden="1"/>
    </xf>
    <xf numFmtId="3" fontId="10" fillId="0" borderId="5" xfId="0" applyNumberFormat="1" applyFont="1" applyBorder="1" applyAlignment="1" applyProtection="1">
      <alignment horizontal="right"/>
      <protection hidden="1"/>
    </xf>
    <xf numFmtId="0" fontId="28" fillId="0" borderId="0" xfId="0" applyFont="1" applyAlignment="1" applyProtection="1">
      <alignment vertical="center"/>
      <protection hidden="1"/>
    </xf>
    <xf numFmtId="4" fontId="28" fillId="0" borderId="0" xfId="0" applyNumberFormat="1" applyFont="1" applyAlignment="1" applyProtection="1">
      <alignment vertical="center"/>
      <protection hidden="1"/>
    </xf>
    <xf numFmtId="8" fontId="28" fillId="0" borderId="0" xfId="0" applyNumberFormat="1" applyFont="1" applyAlignment="1" applyProtection="1">
      <alignment vertical="center"/>
      <protection hidden="1"/>
    </xf>
    <xf numFmtId="0" fontId="30"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164" fontId="31" fillId="0" borderId="0" xfId="0" applyNumberFormat="1" applyFont="1" applyAlignment="1" applyProtection="1">
      <alignment horizontal="center" vertical="center"/>
      <protection hidden="1"/>
    </xf>
    <xf numFmtId="4" fontId="30" fillId="0" borderId="0" xfId="0" applyNumberFormat="1" applyFont="1" applyAlignment="1" applyProtection="1">
      <alignment vertical="center"/>
      <protection hidden="1"/>
    </xf>
    <xf numFmtId="0" fontId="33"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19" fillId="0" borderId="4" xfId="0" applyFont="1" applyBorder="1" applyAlignment="1" applyProtection="1">
      <alignment horizontal="right" vertical="center" wrapText="1"/>
      <protection hidden="1"/>
    </xf>
    <xf numFmtId="3" fontId="12" fillId="0" borderId="3" xfId="0" applyNumberFormat="1" applyFont="1" applyBorder="1" applyAlignment="1" applyProtection="1">
      <alignment horizontal="right" vertical="center"/>
      <protection hidden="1"/>
    </xf>
    <xf numFmtId="164" fontId="12" fillId="0" borderId="2" xfId="0" applyNumberFormat="1" applyFont="1" applyBorder="1" applyAlignment="1" applyProtection="1">
      <alignment horizontal="left" vertical="center"/>
      <protection hidden="1"/>
    </xf>
    <xf numFmtId="0" fontId="15" fillId="0" borderId="2" xfId="0" applyFont="1" applyBorder="1" applyAlignment="1" applyProtection="1">
      <alignment horizontal="right" vertical="center" indent="1"/>
      <protection hidden="1"/>
    </xf>
    <xf numFmtId="0" fontId="12" fillId="0" borderId="8" xfId="0" applyFont="1" applyBorder="1" applyAlignment="1" applyProtection="1">
      <alignment horizontal="left" vertical="center"/>
      <protection hidden="1"/>
    </xf>
    <xf numFmtId="164" fontId="12" fillId="0" borderId="8" xfId="0" applyNumberFormat="1" applyFont="1" applyBorder="1" applyAlignment="1" applyProtection="1">
      <alignment horizontal="left" vertical="center"/>
      <protection hidden="1"/>
    </xf>
    <xf numFmtId="0" fontId="37" fillId="0" borderId="0" xfId="0" applyFont="1"/>
    <xf numFmtId="0" fontId="0" fillId="0" borderId="0" xfId="0" applyAlignment="1">
      <alignment horizontal="left"/>
    </xf>
    <xf numFmtId="0" fontId="38" fillId="0" borderId="0" xfId="0" applyFont="1"/>
    <xf numFmtId="0" fontId="40" fillId="0" borderId="0" xfId="0" applyFont="1" applyAlignment="1" applyProtection="1">
      <alignment horizontal="center"/>
      <protection hidden="1"/>
    </xf>
    <xf numFmtId="0" fontId="41" fillId="0" borderId="0" xfId="0" applyFont="1" applyAlignment="1" applyProtection="1">
      <alignment horizontal="center"/>
      <protection hidden="1"/>
    </xf>
    <xf numFmtId="0" fontId="35" fillId="0" borderId="5" xfId="0" applyFont="1" applyBorder="1" applyAlignment="1">
      <alignmen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35" fillId="0" borderId="0" xfId="0" applyFont="1" applyAlignment="1">
      <alignment horizontal="center" vertical="center"/>
    </xf>
    <xf numFmtId="0" fontId="44" fillId="0" borderId="0" xfId="0" applyFont="1" applyAlignment="1">
      <alignment vertical="center"/>
    </xf>
    <xf numFmtId="0" fontId="35" fillId="0" borderId="0" xfId="0" applyFont="1" applyAlignment="1">
      <alignment vertical="center"/>
    </xf>
    <xf numFmtId="0" fontId="35" fillId="9" borderId="9" xfId="0" applyFont="1" applyFill="1" applyBorder="1" applyAlignment="1">
      <alignment horizontal="center" vertical="center" wrapText="1"/>
    </xf>
    <xf numFmtId="0" fontId="42" fillId="0" borderId="0" xfId="0" applyFont="1" applyAlignment="1">
      <alignment horizontal="center" vertical="center"/>
    </xf>
    <xf numFmtId="0" fontId="42" fillId="0" borderId="5" xfId="0" applyFont="1" applyBorder="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164" fontId="23" fillId="0" borderId="6" xfId="4" applyNumberFormat="1" applyFont="1" applyBorder="1" applyAlignment="1" applyProtection="1">
      <alignment horizontal="left" vertical="center" wrapText="1"/>
      <protection hidden="1"/>
    </xf>
    <xf numFmtId="3" fontId="41" fillId="0" borderId="0" xfId="0" applyNumberFormat="1" applyFont="1" applyAlignment="1" applyProtection="1">
      <alignment horizontal="center"/>
      <protection hidden="1"/>
    </xf>
    <xf numFmtId="3" fontId="7" fillId="0" borderId="0" xfId="0" applyNumberFormat="1" applyFont="1" applyProtection="1">
      <protection hidden="1"/>
    </xf>
    <xf numFmtId="3" fontId="7" fillId="0" borderId="0" xfId="0" applyNumberFormat="1" applyFont="1" applyAlignment="1" applyProtection="1">
      <alignment horizontal="center"/>
      <protection hidden="1"/>
    </xf>
    <xf numFmtId="165" fontId="12" fillId="0" borderId="3" xfId="0" applyNumberFormat="1" applyFont="1" applyBorder="1" applyAlignment="1" applyProtection="1">
      <alignment horizontal="right" vertical="center"/>
      <protection hidden="1"/>
    </xf>
    <xf numFmtId="165" fontId="12" fillId="0" borderId="2" xfId="0" applyNumberFormat="1" applyFont="1" applyBorder="1" applyAlignment="1" applyProtection="1">
      <alignment horizontal="right" vertical="center"/>
      <protection hidden="1"/>
    </xf>
    <xf numFmtId="164" fontId="12" fillId="0" borderId="11" xfId="0" applyNumberFormat="1" applyFont="1" applyBorder="1" applyAlignment="1" applyProtection="1">
      <alignment horizontal="left" vertical="center"/>
      <protection hidden="1"/>
    </xf>
    <xf numFmtId="0" fontId="15" fillId="0" borderId="11" xfId="0" applyFont="1" applyBorder="1" applyAlignment="1" applyProtection="1">
      <alignment horizontal="right" vertical="center" indent="1"/>
      <protection hidden="1"/>
    </xf>
    <xf numFmtId="164" fontId="12" fillId="0" borderId="12" xfId="0" applyNumberFormat="1" applyFont="1" applyBorder="1" applyAlignment="1" applyProtection="1">
      <alignment horizontal="left" vertical="center"/>
      <protection hidden="1"/>
    </xf>
    <xf numFmtId="0" fontId="39" fillId="0" borderId="0" xfId="0" applyFont="1"/>
    <xf numFmtId="0" fontId="39" fillId="0" borderId="0" xfId="0" applyFont="1" applyAlignment="1">
      <alignment horizontal="left"/>
    </xf>
    <xf numFmtId="166" fontId="12" fillId="0" borderId="12" xfId="0" applyNumberFormat="1" applyFont="1" applyBorder="1" applyAlignment="1" applyProtection="1">
      <alignment horizontal="right" vertical="center"/>
      <protection hidden="1"/>
    </xf>
    <xf numFmtId="0" fontId="7" fillId="0" borderId="0" xfId="0" applyFont="1" applyAlignment="1" applyProtection="1">
      <alignment horizontal="left"/>
      <protection hidden="1"/>
    </xf>
    <xf numFmtId="3" fontId="17" fillId="6" borderId="5" xfId="0" applyNumberFormat="1" applyFont="1" applyFill="1" applyBorder="1" applyAlignment="1" applyProtection="1">
      <alignment horizontal="center" vertical="center"/>
      <protection hidden="1"/>
    </xf>
    <xf numFmtId="0" fontId="9" fillId="5" borderId="5" xfId="0" applyFont="1" applyFill="1" applyBorder="1" applyAlignment="1" applyProtection="1">
      <alignment horizontal="left" vertical="center" wrapText="1"/>
      <protection hidden="1"/>
    </xf>
    <xf numFmtId="3" fontId="25" fillId="0" borderId="5" xfId="0" applyNumberFormat="1"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164" fontId="12" fillId="0" borderId="0" xfId="0" applyNumberFormat="1" applyFont="1" applyAlignment="1" applyProtection="1">
      <alignment horizontal="left" vertical="center"/>
      <protection hidden="1"/>
    </xf>
    <xf numFmtId="0" fontId="15" fillId="0" borderId="13" xfId="0" applyFont="1" applyBorder="1" applyAlignment="1" applyProtection="1">
      <alignment horizontal="right" vertical="center" indent="1"/>
      <protection hidden="1"/>
    </xf>
    <xf numFmtId="0" fontId="48" fillId="0" borderId="0" xfId="0" applyFont="1" applyAlignment="1" applyProtection="1">
      <alignment vertical="center"/>
      <protection hidden="1"/>
    </xf>
    <xf numFmtId="3" fontId="12" fillId="0" borderId="2" xfId="0" applyNumberFormat="1" applyFont="1" applyBorder="1" applyAlignment="1" applyProtection="1">
      <alignment horizontal="right" vertical="center" indent="1"/>
      <protection hidden="1"/>
    </xf>
    <xf numFmtId="3" fontId="12" fillId="0" borderId="3" xfId="0" applyNumberFormat="1" applyFont="1" applyBorder="1" applyAlignment="1" applyProtection="1">
      <alignment horizontal="right" vertical="center" indent="1"/>
      <protection hidden="1"/>
    </xf>
    <xf numFmtId="0" fontId="28" fillId="0" borderId="0" xfId="0" applyFont="1" applyAlignment="1" applyProtection="1">
      <alignment vertical="center"/>
      <protection locked="0" hidden="1"/>
    </xf>
    <xf numFmtId="0" fontId="51" fillId="0" borderId="0" xfId="0" applyFont="1" applyAlignment="1" applyProtection="1">
      <alignment horizontal="left" vertical="center"/>
      <protection hidden="1"/>
    </xf>
    <xf numFmtId="0" fontId="53" fillId="0" borderId="7" xfId="0" applyFont="1" applyBorder="1" applyAlignment="1" applyProtection="1">
      <alignment horizontal="right" vertical="center"/>
      <protection hidden="1"/>
    </xf>
    <xf numFmtId="3" fontId="54" fillId="8" borderId="4" xfId="0" applyNumberFormat="1" applyFont="1" applyFill="1" applyBorder="1" applyAlignment="1" applyProtection="1">
      <alignment horizontal="center" vertical="center" wrapText="1"/>
      <protection hidden="1"/>
    </xf>
    <xf numFmtId="3" fontId="54" fillId="8" borderId="0" xfId="0" applyNumberFormat="1" applyFont="1" applyFill="1" applyAlignment="1" applyProtection="1">
      <alignment horizontal="center" vertical="center" wrapText="1"/>
      <protection hidden="1"/>
    </xf>
    <xf numFmtId="3" fontId="54" fillId="8" borderId="14" xfId="0" applyNumberFormat="1" applyFont="1" applyFill="1" applyBorder="1" applyAlignment="1" applyProtection="1">
      <alignment horizontal="center" vertical="center" wrapText="1"/>
      <protection hidden="1"/>
    </xf>
    <xf numFmtId="3" fontId="54" fillId="8" borderId="17" xfId="0" applyNumberFormat="1" applyFont="1" applyFill="1" applyBorder="1" applyAlignment="1" applyProtection="1">
      <alignment horizontal="center" vertical="center" wrapText="1"/>
      <protection hidden="1"/>
    </xf>
    <xf numFmtId="3" fontId="54" fillId="8" borderId="16" xfId="0" applyNumberFormat="1" applyFont="1" applyFill="1" applyBorder="1" applyAlignment="1" applyProtection="1">
      <alignment horizontal="center" vertical="center" wrapText="1"/>
      <protection hidden="1"/>
    </xf>
    <xf numFmtId="3" fontId="54" fillId="8" borderId="15" xfId="0" applyNumberFormat="1" applyFont="1" applyFill="1" applyBorder="1" applyAlignment="1" applyProtection="1">
      <alignment horizontal="center" vertical="center" wrapText="1"/>
      <protection hidden="1"/>
    </xf>
    <xf numFmtId="3" fontId="54" fillId="8" borderId="8" xfId="0" applyNumberFormat="1" applyFont="1" applyFill="1" applyBorder="1" applyAlignment="1" applyProtection="1">
      <alignment horizontal="center" vertical="center" wrapText="1"/>
      <protection hidden="1"/>
    </xf>
    <xf numFmtId="3" fontId="54" fillId="14" borderId="4" xfId="0" applyNumberFormat="1" applyFont="1" applyFill="1" applyBorder="1" applyAlignment="1" applyProtection="1">
      <alignment horizontal="center" vertical="center" wrapText="1"/>
      <protection hidden="1"/>
    </xf>
    <xf numFmtId="3" fontId="54" fillId="14" borderId="0" xfId="0" applyNumberFormat="1" applyFont="1" applyFill="1" applyAlignment="1" applyProtection="1">
      <alignment horizontal="center" vertical="center" wrapText="1"/>
      <protection hidden="1"/>
    </xf>
    <xf numFmtId="3" fontId="54" fillId="14" borderId="14" xfId="0" applyNumberFormat="1" applyFont="1" applyFill="1" applyBorder="1" applyAlignment="1" applyProtection="1">
      <alignment horizontal="center" vertical="center" wrapText="1"/>
      <protection hidden="1"/>
    </xf>
    <xf numFmtId="3" fontId="54" fillId="14" borderId="17" xfId="0" applyNumberFormat="1" applyFont="1" applyFill="1" applyBorder="1" applyAlignment="1" applyProtection="1">
      <alignment horizontal="center" vertical="center" wrapText="1"/>
      <protection hidden="1"/>
    </xf>
    <xf numFmtId="3" fontId="54" fillId="14" borderId="16" xfId="0" applyNumberFormat="1" applyFont="1" applyFill="1" applyBorder="1" applyAlignment="1" applyProtection="1">
      <alignment horizontal="center" vertical="center" wrapText="1"/>
      <protection hidden="1"/>
    </xf>
    <xf numFmtId="3" fontId="54" fillId="14" borderId="15" xfId="0" applyNumberFormat="1" applyFont="1" applyFill="1" applyBorder="1" applyAlignment="1" applyProtection="1">
      <alignment horizontal="center" vertical="center" wrapText="1"/>
      <protection hidden="1"/>
    </xf>
    <xf numFmtId="3" fontId="54" fillId="14" borderId="8" xfId="0" applyNumberFormat="1" applyFont="1" applyFill="1" applyBorder="1" applyAlignment="1" applyProtection="1">
      <alignment horizontal="center" vertical="center" wrapText="1"/>
      <protection hidden="1"/>
    </xf>
    <xf numFmtId="166" fontId="54" fillId="0" borderId="0" xfId="0" applyNumberFormat="1" applyFont="1" applyAlignment="1" applyProtection="1">
      <alignment horizontal="right" vertical="center"/>
      <protection hidden="1"/>
    </xf>
    <xf numFmtId="3" fontId="35" fillId="0" borderId="0" xfId="0" applyNumberFormat="1" applyFont="1" applyAlignment="1">
      <alignment horizontal="center" vertical="center"/>
    </xf>
    <xf numFmtId="3" fontId="42" fillId="0" borderId="0" xfId="0" applyNumberFormat="1" applyFont="1" applyAlignment="1">
      <alignment horizontal="center" vertical="center"/>
    </xf>
    <xf numFmtId="3" fontId="42" fillId="0" borderId="5"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2" fillId="0" borderId="0" xfId="1" applyNumberFormat="1" applyFont="1" applyFill="1" applyAlignment="1">
      <alignment horizontal="center" vertical="center"/>
    </xf>
    <xf numFmtId="3" fontId="42" fillId="0" borderId="5" xfId="1" applyNumberFormat="1" applyFont="1" applyFill="1" applyBorder="1" applyAlignment="1">
      <alignment horizontal="center" vertical="center"/>
    </xf>
    <xf numFmtId="3" fontId="35" fillId="0" borderId="5" xfId="0" applyNumberFormat="1" applyFont="1" applyBorder="1" applyAlignment="1">
      <alignment vertical="center"/>
    </xf>
    <xf numFmtId="0" fontId="37" fillId="0" borderId="0" xfId="0" applyFont="1" applyAlignment="1">
      <alignment horizontal="left"/>
    </xf>
    <xf numFmtId="165" fontId="12" fillId="0" borderId="8" xfId="0" applyNumberFormat="1" applyFont="1" applyBorder="1" applyAlignment="1" applyProtection="1">
      <alignment horizontal="right" vertical="center"/>
      <protection hidden="1"/>
    </xf>
    <xf numFmtId="0" fontId="0" fillId="0" borderId="0" xfId="0" applyProtection="1">
      <protection hidden="1"/>
    </xf>
    <xf numFmtId="3" fontId="17" fillId="6" borderId="0" xfId="0" applyNumberFormat="1" applyFont="1" applyFill="1" applyAlignment="1" applyProtection="1">
      <alignment horizontal="center" vertical="center"/>
      <protection hidden="1"/>
    </xf>
    <xf numFmtId="167" fontId="12" fillId="0" borderId="11"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protection hidden="1"/>
    </xf>
    <xf numFmtId="3" fontId="54" fillId="8" borderId="19" xfId="0" applyNumberFormat="1" applyFont="1" applyFill="1" applyBorder="1" applyAlignment="1" applyProtection="1">
      <alignment horizontal="center" vertical="center" wrapText="1"/>
      <protection hidden="1"/>
    </xf>
    <xf numFmtId="3" fontId="54" fillId="14" borderId="19" xfId="0" applyNumberFormat="1" applyFont="1" applyFill="1" applyBorder="1" applyAlignment="1" applyProtection="1">
      <alignment horizontal="center" vertical="center" wrapText="1"/>
      <protection hidden="1"/>
    </xf>
    <xf numFmtId="1" fontId="7" fillId="0" borderId="0" xfId="0" applyNumberFormat="1" applyFont="1" applyAlignment="1" applyProtection="1">
      <alignment horizontal="center"/>
      <protection hidden="1"/>
    </xf>
    <xf numFmtId="3" fontId="22" fillId="3" borderId="5" xfId="0" applyNumberFormat="1" applyFont="1" applyFill="1" applyBorder="1" applyAlignment="1" applyProtection="1">
      <alignment vertical="center"/>
      <protection hidden="1"/>
    </xf>
    <xf numFmtId="3" fontId="22" fillId="0" borderId="5" xfId="0" applyNumberFormat="1" applyFont="1" applyBorder="1" applyAlignment="1" applyProtection="1">
      <alignment horizontal="right" vertical="center"/>
      <protection hidden="1"/>
    </xf>
    <xf numFmtId="3" fontId="23" fillId="0" borderId="5" xfId="0" applyNumberFormat="1" applyFont="1" applyBorder="1" applyAlignment="1" applyProtection="1">
      <alignment horizontal="center" vertical="center" wrapText="1"/>
      <protection hidden="1"/>
    </xf>
    <xf numFmtId="165" fontId="23" fillId="0" borderId="5" xfId="0" applyNumberFormat="1" applyFont="1" applyBorder="1" applyAlignment="1" applyProtection="1">
      <alignment horizontal="center" vertical="center" wrapText="1"/>
      <protection hidden="1"/>
    </xf>
    <xf numFmtId="1" fontId="23" fillId="0" borderId="6" xfId="0" applyNumberFormat="1" applyFont="1" applyBorder="1" applyAlignment="1" applyProtection="1">
      <alignment horizontal="center" vertical="center" wrapText="1"/>
      <protection hidden="1"/>
    </xf>
    <xf numFmtId="164" fontId="23" fillId="0" borderId="6" xfId="0" applyNumberFormat="1" applyFont="1" applyBorder="1" applyAlignment="1" applyProtection="1">
      <alignment horizontal="center" vertical="center" wrapText="1"/>
      <protection hidden="1"/>
    </xf>
    <xf numFmtId="3" fontId="23" fillId="0" borderId="6" xfId="0" applyNumberFormat="1" applyFont="1" applyBorder="1" applyAlignment="1" applyProtection="1">
      <alignment horizontal="center" vertical="center" wrapText="1"/>
      <protection hidden="1"/>
    </xf>
    <xf numFmtId="3" fontId="24" fillId="0" borderId="5" xfId="0" applyNumberFormat="1" applyFont="1" applyBorder="1" applyAlignment="1" applyProtection="1">
      <alignment horizontal="left"/>
      <protection hidden="1"/>
    </xf>
    <xf numFmtId="3" fontId="22" fillId="5" borderId="5" xfId="5" applyNumberFormat="1" applyFont="1" applyFill="1" applyBorder="1" applyAlignment="1" applyProtection="1">
      <alignment horizontal="center"/>
      <protection hidden="1"/>
    </xf>
    <xf numFmtId="164" fontId="23" fillId="5" borderId="6" xfId="0" applyNumberFormat="1" applyFont="1" applyFill="1" applyBorder="1" applyAlignment="1" applyProtection="1">
      <alignment horizontal="center" vertical="center" wrapText="1"/>
      <protection hidden="1"/>
    </xf>
    <xf numFmtId="165" fontId="22" fillId="5" borderId="5" xfId="5" applyNumberFormat="1" applyFont="1" applyFill="1" applyBorder="1" applyAlignment="1" applyProtection="1">
      <alignment horizontal="center"/>
      <protection hidden="1"/>
    </xf>
    <xf numFmtId="0" fontId="22" fillId="0" borderId="5" xfId="0" applyFont="1" applyBorder="1" applyProtection="1">
      <protection hidden="1"/>
    </xf>
    <xf numFmtId="3" fontId="9" fillId="5" borderId="5" xfId="0" applyNumberFormat="1" applyFont="1" applyFill="1" applyBorder="1" applyAlignment="1" applyProtection="1">
      <alignment horizontal="center" vertical="center" wrapText="1"/>
      <protection hidden="1"/>
    </xf>
    <xf numFmtId="3" fontId="7" fillId="4" borderId="5" xfId="0" applyNumberFormat="1" applyFont="1" applyFill="1" applyBorder="1" applyAlignment="1" applyProtection="1">
      <alignment vertical="center"/>
      <protection hidden="1"/>
    </xf>
    <xf numFmtId="3" fontId="10" fillId="4" borderId="5" xfId="0" applyNumberFormat="1" applyFont="1" applyFill="1" applyBorder="1" applyAlignment="1" applyProtection="1">
      <alignment horizontal="left"/>
      <protection hidden="1"/>
    </xf>
    <xf numFmtId="0" fontId="7" fillId="4" borderId="5" xfId="0" applyFont="1" applyFill="1" applyBorder="1" applyProtection="1">
      <protection hidden="1"/>
    </xf>
    <xf numFmtId="164" fontId="42" fillId="0" borderId="0" xfId="0" applyNumberFormat="1" applyFont="1"/>
    <xf numFmtId="0" fontId="65" fillId="0" borderId="0" xfId="0" applyFont="1"/>
    <xf numFmtId="3" fontId="45" fillId="3" borderId="20" xfId="0" applyNumberFormat="1" applyFont="1" applyFill="1" applyBorder="1" applyAlignment="1" applyProtection="1">
      <alignment vertical="center"/>
      <protection hidden="1"/>
    </xf>
    <xf numFmtId="0" fontId="45" fillId="0" borderId="0" xfId="0" applyFont="1"/>
    <xf numFmtId="3" fontId="67" fillId="0" borderId="20" xfId="0" applyNumberFormat="1" applyFont="1" applyBorder="1" applyAlignment="1">
      <alignment horizontal="right" vertical="center"/>
    </xf>
    <xf numFmtId="165" fontId="35" fillId="0" borderId="5" xfId="0" applyNumberFormat="1" applyFont="1" applyBorder="1" applyAlignment="1">
      <alignment vertical="center"/>
    </xf>
    <xf numFmtId="0" fontId="68" fillId="0" borderId="0" xfId="0" applyFont="1" applyAlignment="1">
      <alignment horizontal="center"/>
    </xf>
    <xf numFmtId="0" fontId="34" fillId="0" borderId="0" xfId="5" applyFont="1" applyProtection="1">
      <protection hidden="1"/>
    </xf>
    <xf numFmtId="0" fontId="68" fillId="0" borderId="0" xfId="0" applyFont="1" applyAlignment="1">
      <alignment horizontal="left"/>
    </xf>
    <xf numFmtId="0" fontId="45" fillId="0" borderId="0" xfId="15" applyFont="1" applyProtection="1">
      <protection hidden="1"/>
    </xf>
    <xf numFmtId="0" fontId="45" fillId="0" borderId="0" xfId="15" applyFont="1" applyAlignment="1" applyProtection="1">
      <alignment horizontal="center"/>
      <protection hidden="1"/>
    </xf>
    <xf numFmtId="0" fontId="62" fillId="0" borderId="0" xfId="15" applyFont="1" applyProtection="1">
      <protection hidden="1"/>
    </xf>
    <xf numFmtId="0" fontId="45" fillId="0" borderId="0" xfId="15" applyFont="1" applyAlignment="1" applyProtection="1">
      <alignment horizontal="left"/>
      <protection hidden="1"/>
    </xf>
    <xf numFmtId="3" fontId="63" fillId="6" borderId="0" xfId="15" applyNumberFormat="1" applyFont="1" applyFill="1" applyAlignment="1" applyProtection="1">
      <alignment horizontal="center"/>
      <protection hidden="1"/>
    </xf>
    <xf numFmtId="0" fontId="64" fillId="7" borderId="9" xfId="15" applyFont="1" applyFill="1" applyBorder="1" applyAlignment="1" applyProtection="1">
      <alignment horizontal="center" vertical="center"/>
      <protection hidden="1"/>
    </xf>
    <xf numFmtId="0" fontId="45" fillId="0" borderId="18" xfId="15" applyFont="1" applyBorder="1" applyProtection="1">
      <protection hidden="1"/>
    </xf>
    <xf numFmtId="0" fontId="45" fillId="0" borderId="18" xfId="15" applyFont="1" applyBorder="1" applyAlignment="1" applyProtection="1">
      <alignment horizontal="center"/>
      <protection hidden="1"/>
    </xf>
    <xf numFmtId="0" fontId="45" fillId="0" borderId="18" xfId="15" applyFont="1" applyBorder="1" applyAlignment="1" applyProtection="1">
      <alignment horizontal="left"/>
      <protection hidden="1"/>
    </xf>
    <xf numFmtId="0" fontId="42" fillId="0" borderId="0" xfId="15" applyFont="1" applyProtection="1">
      <protection hidden="1"/>
    </xf>
    <xf numFmtId="0" fontId="42" fillId="0" borderId="0" xfId="15" applyFont="1" applyAlignment="1" applyProtection="1">
      <alignment horizontal="center"/>
      <protection hidden="1"/>
    </xf>
    <xf numFmtId="0" fontId="42" fillId="0" borderId="0" xfId="15" applyFont="1" applyAlignment="1" applyProtection="1">
      <alignment horizontal="left"/>
      <protection hidden="1"/>
    </xf>
    <xf numFmtId="0" fontId="59" fillId="0" borderId="0" xfId="15" applyFont="1" applyProtection="1">
      <protection hidden="1"/>
    </xf>
    <xf numFmtId="0" fontId="68" fillId="0" borderId="0" xfId="0" applyFont="1" applyAlignment="1" applyProtection="1">
      <alignment horizontal="center"/>
      <protection locked="0"/>
    </xf>
    <xf numFmtId="0" fontId="71" fillId="0" borderId="0" xfId="0" applyFont="1" applyAlignment="1">
      <alignment horizontal="center"/>
    </xf>
    <xf numFmtId="0" fontId="71" fillId="0" borderId="0" xfId="0" applyFont="1" applyAlignment="1">
      <alignment horizontal="left"/>
    </xf>
    <xf numFmtId="0" fontId="38" fillId="0" borderId="0" xfId="0" applyFont="1" applyAlignment="1">
      <alignment horizontal="center"/>
    </xf>
    <xf numFmtId="0" fontId="31" fillId="0" borderId="0" xfId="5" applyFont="1" applyProtection="1">
      <protection hidden="1"/>
    </xf>
    <xf numFmtId="0" fontId="38" fillId="0" borderId="0" xfId="0" applyFont="1" applyAlignment="1">
      <alignment horizontal="left"/>
    </xf>
    <xf numFmtId="0" fontId="72" fillId="0" borderId="0" xfId="0" applyFont="1"/>
    <xf numFmtId="0" fontId="36" fillId="0" borderId="0" xfId="15" applyFont="1" applyAlignment="1" applyProtection="1">
      <alignment horizontal="center"/>
      <protection hidden="1"/>
    </xf>
    <xf numFmtId="0" fontId="73" fillId="0" borderId="0" xfId="15" applyFont="1" applyAlignment="1" applyProtection="1">
      <alignment horizontal="left"/>
      <protection hidden="1"/>
    </xf>
    <xf numFmtId="0" fontId="73" fillId="0" borderId="0" xfId="15" applyFont="1" applyAlignment="1" applyProtection="1">
      <alignment horizontal="center"/>
      <protection hidden="1"/>
    </xf>
    <xf numFmtId="0" fontId="36" fillId="0" borderId="0" xfId="15" applyFont="1" applyAlignment="1" applyProtection="1">
      <alignment horizontal="left"/>
      <protection hidden="1"/>
    </xf>
    <xf numFmtId="0" fontId="43" fillId="16" borderId="0" xfId="0" applyFont="1" applyFill="1" applyAlignment="1">
      <alignment vertical="center"/>
    </xf>
    <xf numFmtId="0" fontId="0" fillId="16" borderId="0" xfId="0" applyFill="1" applyAlignment="1">
      <alignment vertical="center"/>
    </xf>
    <xf numFmtId="0" fontId="0" fillId="16" borderId="0" xfId="0" applyFill="1" applyAlignment="1">
      <alignment horizontal="left" vertical="center"/>
    </xf>
    <xf numFmtId="0" fontId="42" fillId="17" borderId="9" xfId="0" applyFont="1" applyFill="1" applyBorder="1" applyAlignment="1">
      <alignment horizontal="left" vertical="center" wrapText="1"/>
    </xf>
    <xf numFmtId="0" fontId="42" fillId="17" borderId="9" xfId="0" applyFont="1" applyFill="1" applyBorder="1" applyAlignment="1">
      <alignment horizontal="center" vertical="center" wrapText="1"/>
    </xf>
    <xf numFmtId="3" fontId="35" fillId="17" borderId="9" xfId="0" applyNumberFormat="1" applyFont="1" applyFill="1" applyBorder="1" applyAlignment="1">
      <alignment horizontal="center" vertical="center" wrapText="1"/>
    </xf>
    <xf numFmtId="3" fontId="42" fillId="17" borderId="9" xfId="0" applyNumberFormat="1" applyFont="1" applyFill="1" applyBorder="1" applyAlignment="1">
      <alignment horizontal="center" vertical="center" wrapText="1"/>
    </xf>
    <xf numFmtId="0" fontId="35" fillId="17" borderId="9" xfId="0" applyFont="1" applyFill="1" applyBorder="1" applyAlignment="1">
      <alignment horizontal="center" vertical="center" wrapText="1"/>
    </xf>
    <xf numFmtId="0" fontId="68" fillId="0" borderId="0" xfId="0" applyFont="1"/>
    <xf numFmtId="0" fontId="37" fillId="0" borderId="0" xfId="0" applyFont="1" applyProtection="1">
      <protection locked="0"/>
    </xf>
    <xf numFmtId="164" fontId="0" fillId="0" borderId="0" xfId="0" applyNumberFormat="1"/>
    <xf numFmtId="0" fontId="0" fillId="0" borderId="0" xfId="0" applyAlignment="1" applyProtection="1">
      <alignment horizontal="center"/>
      <protection hidden="1"/>
    </xf>
    <xf numFmtId="0" fontId="0" fillId="0" borderId="0" xfId="0" applyAlignment="1">
      <alignment horizontal="center"/>
    </xf>
    <xf numFmtId="0" fontId="45" fillId="0" borderId="18" xfId="15" applyFont="1" applyBorder="1" applyAlignment="1" applyProtection="1">
      <alignment horizontal="left" indent="1"/>
      <protection hidden="1"/>
    </xf>
    <xf numFmtId="0" fontId="66" fillId="0" borderId="0" xfId="15" applyFont="1" applyProtection="1">
      <protection hidden="1"/>
    </xf>
    <xf numFmtId="0" fontId="60" fillId="15" borderId="0" xfId="15" applyFont="1" applyFill="1" applyAlignment="1" applyProtection="1">
      <alignment horizontal="center" vertical="center" wrapText="1"/>
      <protection hidden="1"/>
    </xf>
    <xf numFmtId="0" fontId="28" fillId="5" borderId="10" xfId="0" applyFont="1" applyFill="1" applyBorder="1" applyAlignment="1" applyProtection="1">
      <alignment horizontal="center" vertical="center"/>
      <protection hidden="1"/>
    </xf>
    <xf numFmtId="0" fontId="9" fillId="5" borderId="5" xfId="0" applyFont="1" applyFill="1" applyBorder="1" applyAlignment="1" applyProtection="1">
      <alignment horizontal="center" vertical="center" wrapText="1"/>
      <protection hidden="1"/>
    </xf>
    <xf numFmtId="0" fontId="76" fillId="7" borderId="9" xfId="15" applyFont="1" applyFill="1" applyBorder="1" applyAlignment="1" applyProtection="1">
      <alignment horizontal="center" vertical="center" wrapText="1"/>
      <protection hidden="1"/>
    </xf>
    <xf numFmtId="3" fontId="45" fillId="0" borderId="18" xfId="15" applyNumberFormat="1" applyFont="1" applyBorder="1" applyAlignment="1" applyProtection="1">
      <alignment horizontal="center"/>
      <protection hidden="1"/>
    </xf>
    <xf numFmtId="166" fontId="45" fillId="0" borderId="18" xfId="15" applyNumberFormat="1" applyFont="1" applyBorder="1" applyAlignment="1" applyProtection="1">
      <alignment horizontal="center"/>
      <protection hidden="1"/>
    </xf>
    <xf numFmtId="166" fontId="0" fillId="0" borderId="0" xfId="0" applyNumberFormat="1"/>
    <xf numFmtId="0" fontId="74" fillId="0" borderId="0" xfId="0" applyFont="1" applyAlignment="1">
      <alignment horizontal="left" vertical="center" wrapText="1"/>
    </xf>
    <xf numFmtId="17" fontId="49" fillId="0" borderId="0" xfId="0" applyNumberFormat="1"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29" fillId="11" borderId="0" xfId="0" applyFont="1" applyFill="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53" fillId="0" borderId="0" xfId="0" applyFont="1" applyAlignment="1" applyProtection="1">
      <alignment horizontal="center" vertical="center"/>
      <protection hidden="1"/>
    </xf>
    <xf numFmtId="0" fontId="69" fillId="0" borderId="0" xfId="0" applyFont="1" applyAlignment="1" applyProtection="1">
      <alignment horizontal="left" vertical="center" wrapText="1"/>
      <protection hidden="1"/>
    </xf>
    <xf numFmtId="0" fontId="53" fillId="0" borderId="7" xfId="0" applyFont="1" applyBorder="1" applyAlignment="1" applyProtection="1">
      <alignment horizontal="center" vertical="center"/>
      <protection hidden="1"/>
    </xf>
    <xf numFmtId="0" fontId="55" fillId="13" borderId="7" xfId="0" applyFont="1" applyFill="1" applyBorder="1" applyAlignment="1" applyProtection="1">
      <alignment horizontal="center" vertical="center"/>
      <protection hidden="1"/>
    </xf>
    <xf numFmtId="0" fontId="55" fillId="13" borderId="9" xfId="0" applyFont="1" applyFill="1" applyBorder="1" applyAlignment="1" applyProtection="1">
      <alignment horizontal="center" vertical="center"/>
      <protection hidden="1"/>
    </xf>
    <xf numFmtId="0" fontId="55" fillId="12" borderId="7" xfId="0" applyFont="1" applyFill="1" applyBorder="1" applyAlignment="1" applyProtection="1">
      <alignment horizontal="center" vertical="center"/>
      <protection hidden="1"/>
    </xf>
    <xf numFmtId="0" fontId="55" fillId="12" borderId="9" xfId="0" applyFont="1" applyFill="1" applyBorder="1" applyAlignment="1" applyProtection="1">
      <alignment horizontal="center" vertical="center"/>
      <protection hidden="1"/>
    </xf>
    <xf numFmtId="166" fontId="54" fillId="0" borderId="16" xfId="0" applyNumberFormat="1" applyFont="1" applyBorder="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0" fontId="36" fillId="0" borderId="0" xfId="0" applyFont="1" applyAlignment="1">
      <alignment horizontal="center" vertical="center" wrapText="1"/>
    </xf>
  </cellXfs>
  <cellStyles count="17">
    <cellStyle name="Comma" xfId="1" builtinId="3"/>
    <cellStyle name="Comma 2" xfId="12" xr:uid="{00000000-0005-0000-0000-000001000000}"/>
    <cellStyle name="Hyperlink 2" xfId="2" xr:uid="{00000000-0005-0000-0000-000003000000}"/>
    <cellStyle name="Hyperlink 3" xfId="8" xr:uid="{00000000-0005-0000-0000-000004000000}"/>
    <cellStyle name="Hyperlink 4" xfId="16" xr:uid="{6BCA0741-8BAB-44B9-A0A8-893ADF2CD8F8}"/>
    <cellStyle name="Normal" xfId="0" builtinId="0"/>
    <cellStyle name="Normal 2" xfId="3" xr:uid="{00000000-0005-0000-0000-000006000000}"/>
    <cellStyle name="Normal 2 2" xfId="15" xr:uid="{C641D0DB-45A5-40DB-9E0D-0BBB5DF5828C}"/>
    <cellStyle name="Normal 3" xfId="4" xr:uid="{00000000-0005-0000-0000-000007000000}"/>
    <cellStyle name="Normal 4" xfId="7" xr:uid="{00000000-0005-0000-0000-000008000000}"/>
    <cellStyle name="Normal 5" xfId="13" xr:uid="{00000000-0005-0000-0000-000009000000}"/>
    <cellStyle name="Normal 6" xfId="11" xr:uid="{00000000-0005-0000-0000-00000A000000}"/>
    <cellStyle name="Normal 6 2 2" xfId="9" xr:uid="{00000000-0005-0000-0000-00000B000000}"/>
    <cellStyle name="Normal 6 3" xfId="10" xr:uid="{00000000-0005-0000-0000-00000C000000}"/>
    <cellStyle name="Normal_test" xfId="5" xr:uid="{00000000-0005-0000-0000-00000D000000}"/>
    <cellStyle name="Percent 2" xfId="14" xr:uid="{00000000-0005-0000-0000-00000E000000}"/>
    <cellStyle name="rowfield" xfId="6" xr:uid="{00000000-0005-0000-0000-00000F000000}"/>
  </cellStyles>
  <dxfs count="4">
    <dxf>
      <font>
        <color rgb="FF9C0006"/>
      </font>
      <fill>
        <patternFill>
          <bgColor rgb="FFFFC7CE"/>
        </patternFill>
      </fill>
    </dxf>
    <dxf>
      <font>
        <color rgb="FF9C0006"/>
      </font>
      <fill>
        <patternFill>
          <bgColor rgb="FFFFC7CE"/>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ddab3113c9de4369"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525463201227458E-2"/>
          <c:w val="0.82024448685568874"/>
          <c:h val="0.95143086106079966"/>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Comparison!$H$9:$H$78</c:f>
              <c:strCache>
                <c:ptCount val="70"/>
                <c:pt idx="0">
                  <c:v>Brimbank </c:v>
                </c:pt>
                <c:pt idx="1">
                  <c:v>Greater Dandenong </c:v>
                </c:pt>
                <c:pt idx="2">
                  <c:v>Mildura </c:v>
                </c:pt>
                <c:pt idx="3">
                  <c:v>Maribyrnong </c:v>
                </c:pt>
                <c:pt idx="4">
                  <c:v>Warrnambool </c:v>
                </c:pt>
                <c:pt idx="5">
                  <c:v>Horsham </c:v>
                </c:pt>
                <c:pt idx="6">
                  <c:v>Greater Shepparton </c:v>
                </c:pt>
                <c:pt idx="7">
                  <c:v>Moonee Valley </c:v>
                </c:pt>
                <c:pt idx="8">
                  <c:v>Latrobe </c:v>
                </c:pt>
                <c:pt idx="9">
                  <c:v>Central Goldfields</c:v>
                </c:pt>
                <c:pt idx="10">
                  <c:v>East Gippsland </c:v>
                </c:pt>
                <c:pt idx="11">
                  <c:v>Whittlesea </c:v>
                </c:pt>
                <c:pt idx="12">
                  <c:v>Monash </c:v>
                </c:pt>
                <c:pt idx="13">
                  <c:v>Hume </c:v>
                </c:pt>
                <c:pt idx="14">
                  <c:v>Wellington </c:v>
                </c:pt>
                <c:pt idx="15">
                  <c:v>Ballarat </c:v>
                </c:pt>
                <c:pt idx="16">
                  <c:v>Ararat </c:v>
                </c:pt>
                <c:pt idx="17">
                  <c:v>Maroondah </c:v>
                </c:pt>
                <c:pt idx="18">
                  <c:v>Kingston </c:v>
                </c:pt>
                <c:pt idx="19">
                  <c:v>Hobsons Bay </c:v>
                </c:pt>
                <c:pt idx="20">
                  <c:v>Mornington Peninsula </c:v>
                </c:pt>
                <c:pt idx="21">
                  <c:v>Darebin </c:v>
                </c:pt>
                <c:pt idx="22">
                  <c:v>Greater Bendigo </c:v>
                </c:pt>
                <c:pt idx="23">
                  <c:v>Greater Geelong </c:v>
                </c:pt>
                <c:pt idx="24">
                  <c:v>Melton </c:v>
                </c:pt>
                <c:pt idx="25">
                  <c:v>Knox </c:v>
                </c:pt>
                <c:pt idx="26">
                  <c:v>Swan Hill </c:v>
                </c:pt>
                <c:pt idx="27">
                  <c:v>Frankston </c:v>
                </c:pt>
                <c:pt idx="28">
                  <c:v>Glen Eira </c:v>
                </c:pt>
                <c:pt idx="29">
                  <c:v>Bass Coast </c:v>
                </c:pt>
                <c:pt idx="30">
                  <c:v>Glenelg </c:v>
                </c:pt>
                <c:pt idx="31">
                  <c:v>Melbourne </c:v>
                </c:pt>
                <c:pt idx="32">
                  <c:v>Mitchell </c:v>
                </c:pt>
                <c:pt idx="33">
                  <c:v>Banyule </c:v>
                </c:pt>
                <c:pt idx="34">
                  <c:v>Manningham </c:v>
                </c:pt>
                <c:pt idx="35">
                  <c:v>Casey </c:v>
                </c:pt>
                <c:pt idx="36">
                  <c:v>Wyndham </c:v>
                </c:pt>
                <c:pt idx="37">
                  <c:v>Benalla </c:v>
                </c:pt>
                <c:pt idx="38">
                  <c:v>Southern Grampians </c:v>
                </c:pt>
                <c:pt idx="39">
                  <c:v>Wangaratta </c:v>
                </c:pt>
                <c:pt idx="40">
                  <c:v>Baw Baw </c:v>
                </c:pt>
                <c:pt idx="41">
                  <c:v>Colac-Otway </c:v>
                </c:pt>
                <c:pt idx="42">
                  <c:v>Northern Grampians </c:v>
                </c:pt>
                <c:pt idx="43">
                  <c:v>Whitehorse </c:v>
                </c:pt>
                <c:pt idx="44">
                  <c:v>Moreland </c:v>
                </c:pt>
                <c:pt idx="45">
                  <c:v>Cardinia </c:v>
                </c:pt>
                <c:pt idx="46">
                  <c:v>Campaspe </c:v>
                </c:pt>
                <c:pt idx="47">
                  <c:v>Queenscliffe</c:v>
                </c:pt>
                <c:pt idx="48">
                  <c:v>Moorabool </c:v>
                </c:pt>
                <c:pt idx="49">
                  <c:v>Yarra </c:v>
                </c:pt>
                <c:pt idx="50">
                  <c:v>Corangamite </c:v>
                </c:pt>
                <c:pt idx="51">
                  <c:v>Wodonga </c:v>
                </c:pt>
                <c:pt idx="52">
                  <c:v>Port Phillip </c:v>
                </c:pt>
                <c:pt idx="53">
                  <c:v>South Gippsland </c:v>
                </c:pt>
                <c:pt idx="54">
                  <c:v>Alpine </c:v>
                </c:pt>
                <c:pt idx="55">
                  <c:v>Gannawarra </c:v>
                </c:pt>
                <c:pt idx="56">
                  <c:v>Strathbogie </c:v>
                </c:pt>
                <c:pt idx="57">
                  <c:v>Moira </c:v>
                </c:pt>
                <c:pt idx="58">
                  <c:v>Yarra Ranges </c:v>
                </c:pt>
                <c:pt idx="59">
                  <c:v>Hepburn </c:v>
                </c:pt>
                <c:pt idx="60">
                  <c:v>Macedon Ranges </c:v>
                </c:pt>
                <c:pt idx="61">
                  <c:v>Mansfield </c:v>
                </c:pt>
                <c:pt idx="62">
                  <c:v>Nillumbik </c:v>
                </c:pt>
                <c:pt idx="63">
                  <c:v>Stonnington </c:v>
                </c:pt>
                <c:pt idx="64">
                  <c:v>Mount Alexander </c:v>
                </c:pt>
                <c:pt idx="65">
                  <c:v>Surf Coast </c:v>
                </c:pt>
                <c:pt idx="66">
                  <c:v>Bayside </c:v>
                </c:pt>
                <c:pt idx="67">
                  <c:v>Boroondara </c:v>
                </c:pt>
                <c:pt idx="68">
                  <c:v>Murrindindi </c:v>
                </c:pt>
                <c:pt idx="69">
                  <c:v>Towong </c:v>
                </c:pt>
              </c:strCache>
            </c:strRef>
          </c:cat>
          <c:val>
            <c:numRef>
              <c:f>Comparison!$I$9:$I$78</c:f>
              <c:numCache>
                <c:formatCode>General</c:formatCode>
                <c:ptCount val="70"/>
                <c:pt idx="0">
                  <c:v>1128.9454926934757</c:v>
                </c:pt>
                <c:pt idx="1">
                  <c:v>1076.5688863579437</c:v>
                </c:pt>
                <c:pt idx="2">
                  <c:v>920.86196953277761</c:v>
                </c:pt>
                <c:pt idx="3">
                  <c:v>887.76163931656674</c:v>
                </c:pt>
                <c:pt idx="4">
                  <c:v>861.59601115514067</c:v>
                </c:pt>
                <c:pt idx="5">
                  <c:v>843.441072808179</c:v>
                </c:pt>
                <c:pt idx="6">
                  <c:v>838.94918779898126</c:v>
                </c:pt>
                <c:pt idx="7">
                  <c:v>834.14154070514383</c:v>
                </c:pt>
                <c:pt idx="8">
                  <c:v>821.45347430121967</c:v>
                </c:pt>
                <c:pt idx="9">
                  <c:v>809.18754340228827</c:v>
                </c:pt>
                <c:pt idx="10">
                  <c:v>792.52561312732905</c:v>
                </c:pt>
                <c:pt idx="11">
                  <c:v>766.63982182053098</c:v>
                </c:pt>
                <c:pt idx="12">
                  <c:v>753.50247973815999</c:v>
                </c:pt>
                <c:pt idx="13">
                  <c:v>752.12867014522294</c:v>
                </c:pt>
                <c:pt idx="14">
                  <c:v>749.68759730231943</c:v>
                </c:pt>
                <c:pt idx="15">
                  <c:v>718.87823549444192</c:v>
                </c:pt>
                <c:pt idx="16">
                  <c:v>712.26450923082825</c:v>
                </c:pt>
                <c:pt idx="17">
                  <c:v>695.32119522042251</c:v>
                </c:pt>
                <c:pt idx="18">
                  <c:v>684.78407993611393</c:v>
                </c:pt>
                <c:pt idx="19">
                  <c:v>676.76104722981131</c:v>
                </c:pt>
                <c:pt idx="20">
                  <c:v>649.30273949276614</c:v>
                </c:pt>
                <c:pt idx="21">
                  <c:v>636.76071860486809</c:v>
                </c:pt>
                <c:pt idx="22">
                  <c:v>636.22748690977846</c:v>
                </c:pt>
                <c:pt idx="23">
                  <c:v>624.50562953354972</c:v>
                </c:pt>
                <c:pt idx="24">
                  <c:v>619.62611123777231</c:v>
                </c:pt>
                <c:pt idx="25">
                  <c:v>619.3086498926649</c:v>
                </c:pt>
                <c:pt idx="26">
                  <c:v>618.46953062005844</c:v>
                </c:pt>
                <c:pt idx="27">
                  <c:v>614.49015845498627</c:v>
                </c:pt>
                <c:pt idx="28">
                  <c:v>592.31889878772154</c:v>
                </c:pt>
                <c:pt idx="29">
                  <c:v>588.01695073822293</c:v>
                </c:pt>
                <c:pt idx="30">
                  <c:v>581.38326045190877</c:v>
                </c:pt>
                <c:pt idx="31">
                  <c:v>579.00090640202382</c:v>
                </c:pt>
                <c:pt idx="32">
                  <c:v>575.27958589207185</c:v>
                </c:pt>
                <c:pt idx="33">
                  <c:v>574.77878949815363</c:v>
                </c:pt>
                <c:pt idx="34">
                  <c:v>568.70513079250634</c:v>
                </c:pt>
                <c:pt idx="35">
                  <c:v>568.48501338650385</c:v>
                </c:pt>
                <c:pt idx="36">
                  <c:v>561.19989554325832</c:v>
                </c:pt>
                <c:pt idx="37">
                  <c:v>549.87980179782323</c:v>
                </c:pt>
                <c:pt idx="38">
                  <c:v>549.05446472890696</c:v>
                </c:pt>
                <c:pt idx="39">
                  <c:v>464.29999119285435</c:v>
                </c:pt>
                <c:pt idx="40">
                  <c:v>461.33089104497725</c:v>
                </c:pt>
                <c:pt idx="41">
                  <c:v>455.31898899869691</c:v>
                </c:pt>
                <c:pt idx="42">
                  <c:v>437.90447109905227</c:v>
                </c:pt>
                <c:pt idx="43">
                  <c:v>430.34077861761489</c:v>
                </c:pt>
                <c:pt idx="44">
                  <c:v>424.01701892648055</c:v>
                </c:pt>
                <c:pt idx="45">
                  <c:v>418.11045497549628</c:v>
                </c:pt>
                <c:pt idx="46">
                  <c:v>403.06726618508884</c:v>
                </c:pt>
                <c:pt idx="47">
                  <c:v>387.37889292870278</c:v>
                </c:pt>
                <c:pt idx="48">
                  <c:v>376.29909453532463</c:v>
                </c:pt>
                <c:pt idx="49">
                  <c:v>358.69311007607365</c:v>
                </c:pt>
                <c:pt idx="50">
                  <c:v>333.21123797714802</c:v>
                </c:pt>
                <c:pt idx="51">
                  <c:v>332.68154583655587</c:v>
                </c:pt>
                <c:pt idx="52">
                  <c:v>311.98158907213826</c:v>
                </c:pt>
                <c:pt idx="53">
                  <c:v>308.99395561701527</c:v>
                </c:pt>
                <c:pt idx="54">
                  <c:v>287.56808854309594</c:v>
                </c:pt>
                <c:pt idx="55">
                  <c:v>284.50496240840857</c:v>
                </c:pt>
                <c:pt idx="56">
                  <c:v>275.97428050719139</c:v>
                </c:pt>
                <c:pt idx="57">
                  <c:v>260.76022067441886</c:v>
                </c:pt>
                <c:pt idx="58">
                  <c:v>247.3862375405333</c:v>
                </c:pt>
                <c:pt idx="59">
                  <c:v>247.19428699517297</c:v>
                </c:pt>
                <c:pt idx="60">
                  <c:v>242.84308025419568</c:v>
                </c:pt>
                <c:pt idx="61">
                  <c:v>228.19634604775285</c:v>
                </c:pt>
                <c:pt idx="62">
                  <c:v>207.57044214289027</c:v>
                </c:pt>
                <c:pt idx="63">
                  <c:v>197.67592638206889</c:v>
                </c:pt>
                <c:pt idx="64">
                  <c:v>184.21735247819723</c:v>
                </c:pt>
                <c:pt idx="65">
                  <c:v>170.43367245092014</c:v>
                </c:pt>
                <c:pt idx="66">
                  <c:v>151.61852138031117</c:v>
                </c:pt>
                <c:pt idx="67">
                  <c:v>137.25518527232322</c:v>
                </c:pt>
                <c:pt idx="68">
                  <c:v>136.43424040068504</c:v>
                </c:pt>
                <c:pt idx="69">
                  <c:v>90.214616662089426</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trlProps/ctrlProp1.xml><?xml version="1.0" encoding="utf-8"?>
<formControlPr xmlns="http://schemas.microsoft.com/office/spreadsheetml/2009/9/main" objectType="Drop" dropLines="55" dropStyle="combo" dx="16" fmlaLink="$B$1" fmlaRange="Data!$B$5:$B$85" sel="26" val="0"/>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12700</xdr:colOff>
      <xdr:row>1</xdr:row>
      <xdr:rowOff>42334</xdr:rowOff>
    </xdr:to>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10584" y="9525"/>
          <a:ext cx="8384116" cy="356659"/>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2025</a:t>
          </a:r>
        </a:p>
      </xdr:txBody>
    </xdr:sp>
    <xdr:clientData/>
  </xdr:twoCellAnchor>
  <xdr:twoCellAnchor editAs="oneCell">
    <xdr:from>
      <xdr:col>0</xdr:col>
      <xdr:colOff>0</xdr:colOff>
      <xdr:row>0</xdr:row>
      <xdr:rowOff>0</xdr:rowOff>
    </xdr:from>
    <xdr:to>
      <xdr:col>0</xdr:col>
      <xdr:colOff>1151283</xdr:colOff>
      <xdr:row>3</xdr:row>
      <xdr:rowOff>38650</xdr:rowOff>
    </xdr:to>
    <xdr:pic>
      <xdr:nvPicPr>
        <xdr:cNvPr id="4" name="Picture 3" descr="Gaming Machine 2.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0"/>
          <a:ext cx="1151283" cy="7592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222250</xdr:rowOff>
        </xdr:from>
        <xdr:to>
          <xdr:col>4</xdr:col>
          <xdr:colOff>0</xdr:colOff>
          <xdr:row>3</xdr:row>
          <xdr:rowOff>50800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xdr:row>
          <xdr:rowOff>222250</xdr:rowOff>
        </xdr:from>
        <xdr:to>
          <xdr:col>7</xdr:col>
          <xdr:colOff>508000</xdr:colOff>
          <xdr:row>3</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6</xdr:row>
      <xdr:rowOff>52387</xdr:rowOff>
    </xdr:from>
    <xdr:to>
      <xdr:col>10</xdr:col>
      <xdr:colOff>4762</xdr:colOff>
      <xdr:row>78</xdr:row>
      <xdr:rowOff>61913</xdr:rowOff>
    </xdr:to>
    <xdr:graphicFrame macro="">
      <xdr:nvGraphicFramePr>
        <xdr:cNvPr id="236666" name="Chart 1">
          <a:extLst>
            <a:ext uri="{FF2B5EF4-FFF2-40B4-BE49-F238E27FC236}">
              <a16:creationId xmlns:a16="http://schemas.microsoft.com/office/drawing/2014/main" id="{00000000-0008-0000-01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233361</xdr:colOff>
      <xdr:row>6</xdr:row>
      <xdr:rowOff>4762</xdr:rowOff>
    </xdr:to>
    <xdr:pic>
      <xdr:nvPicPr>
        <xdr:cNvPr id="4" name="Picture 3" descr="Gambling machine 3.jp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4</xdr:row>
          <xdr:rowOff>69850</xdr:rowOff>
        </xdr:from>
        <xdr:to>
          <xdr:col>5</xdr:col>
          <xdr:colOff>12700</xdr:colOff>
          <xdr:row>6</xdr:row>
          <xdr:rowOff>0</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1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128587</xdr:colOff>
      <xdr:row>0</xdr:row>
      <xdr:rowOff>19050</xdr:rowOff>
    </xdr:from>
    <xdr:to>
      <xdr:col>1</xdr:col>
      <xdr:colOff>1457325</xdr:colOff>
      <xdr:row>3</xdr:row>
      <xdr:rowOff>23814</xdr:rowOff>
    </xdr:to>
    <xdr:pic>
      <xdr:nvPicPr>
        <xdr:cNvPr id="2" name="Picture 1" descr="whirlpool of money.jpg">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stretch>
          <a:fillRect/>
        </a:stretch>
      </xdr:blipFill>
      <xdr:spPr>
        <a:xfrm>
          <a:off x="128587" y="19050"/>
          <a:ext cx="1457326" cy="90963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3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3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3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3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3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3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3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3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3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3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3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3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3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3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3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3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3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3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3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3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3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3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3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3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3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3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3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3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3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3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3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3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3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3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3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3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3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3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3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3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3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3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3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3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3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3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3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3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3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3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3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3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3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3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3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3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3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3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3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3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3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3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3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3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3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3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3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3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3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3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3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3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3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3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3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3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3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3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3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3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3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3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3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3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3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3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3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3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3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3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3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3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3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3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3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3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3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3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3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3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3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3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3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3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3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3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3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3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3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3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3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3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3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3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3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3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3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3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3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3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3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3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3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3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3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3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3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3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3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3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3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3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3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3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3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3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3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3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3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3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3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3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3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3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3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3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3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3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3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3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3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3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3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3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3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3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3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3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3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3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3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3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3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3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3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3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3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3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tabSelected="1" zoomScale="90" zoomScaleNormal="90" workbookViewId="0">
      <pane xSplit="11" ySplit="17" topLeftCell="O18" activePane="bottomRight" state="frozen"/>
      <selection pane="topRight" activeCell="L1" sqref="L1"/>
      <selection pane="bottomLeft" activeCell="A18" sqref="A18"/>
      <selection pane="bottomRight" activeCell="V13" sqref="V13"/>
    </sheetView>
  </sheetViews>
  <sheetFormatPr defaultColWidth="9.08984375" defaultRowHeight="13"/>
  <cols>
    <col min="1" max="1" width="40" style="5" customWidth="1"/>
    <col min="2" max="3" width="7.81640625" style="5" customWidth="1"/>
    <col min="4" max="4" width="9.26953125" style="5" customWidth="1"/>
    <col min="5" max="5" width="1.6328125" style="15" customWidth="1"/>
    <col min="6" max="7" width="7.81640625" style="15" customWidth="1"/>
    <col min="8" max="8" width="9.26953125" style="15" customWidth="1"/>
    <col min="9" max="9" width="1.81640625" style="15" customWidth="1"/>
    <col min="10" max="10" width="13.7265625" style="15" customWidth="1"/>
    <col min="11" max="11" width="13" style="15" customWidth="1"/>
    <col min="12" max="17" width="8.7265625" style="15" customWidth="1"/>
    <col min="18" max="27" width="8.7265625" style="5" customWidth="1"/>
    <col min="28" max="16384" width="9.08984375" style="5"/>
  </cols>
  <sheetData>
    <row r="1" spans="1:14" ht="25.5" customHeight="1">
      <c r="B1" s="6">
        <v>26</v>
      </c>
      <c r="F1" s="72">
        <v>80</v>
      </c>
      <c r="K1"/>
      <c r="L1"/>
      <c r="M1"/>
    </row>
    <row r="2" spans="1:14" ht="18" customHeight="1">
      <c r="A2" s="73" t="s">
        <v>723</v>
      </c>
      <c r="E2" s="73" t="s">
        <v>594</v>
      </c>
      <c r="F2" s="69"/>
      <c r="K2"/>
      <c r="L2"/>
      <c r="M2"/>
      <c r="N2" s="24"/>
    </row>
    <row r="3" spans="1:14" ht="13.5" customHeight="1">
      <c r="B3" s="182"/>
      <c r="C3" s="182"/>
      <c r="D3" s="182"/>
      <c r="G3" s="23"/>
      <c r="I3" s="23"/>
      <c r="J3" s="181" t="str">
        <f>CONCATENATE(A5,": number higher or lower than ",F5)</f>
        <v>Greater Dandenong : number higher or lower than Victoria</v>
      </c>
      <c r="K3" s="192" t="str">
        <f>CONCATENATE(A5,": per cent more or less than ",F5)</f>
        <v>Greater Dandenong : per cent more or less than Victoria</v>
      </c>
      <c r="M3" s="24"/>
      <c r="N3" s="24"/>
    </row>
    <row r="4" spans="1:14" ht="4.5" customHeight="1">
      <c r="B4" s="183"/>
      <c r="C4" s="183"/>
      <c r="D4" s="183"/>
      <c r="J4" s="181"/>
      <c r="K4" s="192"/>
    </row>
    <row r="5" spans="1:14" ht="9" customHeight="1">
      <c r="A5" s="189" t="str">
        <f>INDEX(Data!B5:B85,Indicators!B1)</f>
        <v xml:space="preserve">Greater Dandenong </v>
      </c>
      <c r="B5" s="189"/>
      <c r="C5" s="189"/>
      <c r="D5" s="189"/>
      <c r="F5" s="187" t="str">
        <f>INDEX(Data!B5:B85,Indicators!F1)</f>
        <v>Victoria</v>
      </c>
      <c r="G5" s="187"/>
      <c r="H5" s="187"/>
      <c r="J5" s="181"/>
      <c r="K5" s="192"/>
    </row>
    <row r="6" spans="1:14" ht="11.25" customHeight="1">
      <c r="A6" s="190"/>
      <c r="B6" s="190"/>
      <c r="C6" s="190"/>
      <c r="D6" s="190"/>
      <c r="F6" s="188"/>
      <c r="G6" s="188"/>
      <c r="H6" s="188"/>
      <c r="J6" s="181"/>
      <c r="K6" s="192"/>
    </row>
    <row r="7" spans="1:14" ht="17.25" customHeight="1">
      <c r="A7" s="100"/>
      <c r="B7" s="184" t="s">
        <v>0</v>
      </c>
      <c r="C7" s="184"/>
      <c r="D7" s="74" t="s">
        <v>1</v>
      </c>
      <c r="E7" s="69"/>
      <c r="F7" s="186" t="s">
        <v>0</v>
      </c>
      <c r="G7" s="186"/>
      <c r="H7" s="74" t="s">
        <v>1</v>
      </c>
      <c r="J7" s="181"/>
      <c r="K7" s="192"/>
    </row>
    <row r="8" spans="1:14" ht="22.5" customHeight="1">
      <c r="A8" s="9" t="s">
        <v>718</v>
      </c>
      <c r="B8" s="11">
        <f>VLOOKUP($B$1,Data!$A$5:$T$85,5)</f>
        <v>14</v>
      </c>
      <c r="C8" s="3"/>
      <c r="D8" s="26" t="s">
        <v>163</v>
      </c>
      <c r="F8" s="11">
        <f>VLOOKUP($F$1,Data!$A$5:$T$85,5)</f>
        <v>485</v>
      </c>
      <c r="G8" s="3"/>
      <c r="H8" s="26" t="s">
        <v>163</v>
      </c>
      <c r="J8" s="75" t="str">
        <f>IF(B8&gt;F8,CONCATENATE(B8-F8," more "),IF(F8&gt;B8,CONCATENATE(F8-B8," fewer "),"equal"))</f>
        <v xml:space="preserve">471 fewer </v>
      </c>
      <c r="K8" s="82" t="str">
        <f t="shared" ref="K8:K14" si="0">IF(B8&gt;F8,CONCATENATE(ROUNDUP((B8-F8)/F8*100,0),"% greater "),IF(F8&gt;B8,CONCATENATE(ROUNDUP((F8-B8)/F8*100,0),"% less "),"equal"))</f>
        <v xml:space="preserve">98% less </v>
      </c>
    </row>
    <row r="9" spans="1:14" ht="21.75" customHeight="1">
      <c r="A9" s="10" t="s">
        <v>728</v>
      </c>
      <c r="B9" s="27">
        <f>VLOOKUP($B$1,Data!$A$5:$T$85,6)</f>
        <v>928</v>
      </c>
      <c r="C9" s="2"/>
      <c r="D9" s="4">
        <f>VLOOKUP($B$1,Data!$A$5:$T$85,11)</f>
        <v>5</v>
      </c>
      <c r="E9" s="18"/>
      <c r="F9" s="27">
        <f>VLOOKUP($F$1,Data!$A$5:$T$85,6)</f>
        <v>26258</v>
      </c>
      <c r="G9" s="2"/>
      <c r="H9" s="4" t="str">
        <f>VLOOKUP($F$1,Data!$A$5:$T$85,11)</f>
        <v>*</v>
      </c>
      <c r="I9" s="18"/>
      <c r="J9" s="76" t="str">
        <f>IF(B9&gt;F9,CONCATENATE(B9-F9," more "),IF(F9&gt;B9,CONCATENATE(F9-B9," fewer "),"equal"))</f>
        <v xml:space="preserve">25330 fewer </v>
      </c>
      <c r="K9" s="83" t="str">
        <f t="shared" si="0"/>
        <v xml:space="preserve">97% less </v>
      </c>
      <c r="L9" s="18"/>
    </row>
    <row r="10" spans="1:14" ht="21.75" hidden="1" customHeight="1">
      <c r="A10" s="10" t="s">
        <v>578</v>
      </c>
      <c r="B10" s="27">
        <f>VLOOKUP($B$1,Data!$A$5:$T$85,7)</f>
        <v>0</v>
      </c>
      <c r="C10" s="2"/>
      <c r="D10" s="4">
        <f>VLOOKUP($B$1,Data!$A$5:$T$85,12)</f>
        <v>0</v>
      </c>
      <c r="E10" s="18"/>
      <c r="F10" s="27">
        <f>VLOOKUP($F$1,Data!$A$5:$T$85,7)</f>
        <v>0</v>
      </c>
      <c r="G10" s="2"/>
      <c r="H10" s="4">
        <f>VLOOKUP($F$1,Data!$A$5:$T$85,12)</f>
        <v>0</v>
      </c>
      <c r="I10" s="18"/>
      <c r="J10" s="77" t="str">
        <f>IF(B10&gt;F10,CONCATENATE(B10-F10," more "),IF(F10&gt;B10,CONCATENATE(F10-B10," fewer "),"equal"))</f>
        <v>equal</v>
      </c>
      <c r="K10" s="84" t="str">
        <f t="shared" si="0"/>
        <v>equal</v>
      </c>
      <c r="L10" s="18"/>
    </row>
    <row r="11" spans="1:14" ht="21.75" customHeight="1" thickBot="1">
      <c r="A11" s="1" t="s">
        <v>729</v>
      </c>
      <c r="B11" s="55">
        <f>VLOOKUP($B$1,Data!$A$5:$T$85,13)</f>
        <v>7.0767017381823347</v>
      </c>
      <c r="C11" s="28"/>
      <c r="D11" s="29">
        <f>VLOOKUP($B$1,Data!$A$5:$T$85,14)</f>
        <v>16</v>
      </c>
      <c r="E11" s="18"/>
      <c r="F11" s="55">
        <f>VLOOKUP($F$1,Data!$A$5:$T$85,13)</f>
        <v>4.8499171098030267</v>
      </c>
      <c r="G11" s="28"/>
      <c r="H11" s="29" t="str">
        <f>VLOOKUP($F$1,Data!$A$5:$T$85,14)</f>
        <v>*</v>
      </c>
      <c r="I11" s="18"/>
      <c r="J11" s="78" t="str">
        <f>IF(B11&gt;F11,CONCATENATE(ROUNDUP(B11-F11,1)," more "),IF(F11&gt;B11,CONCATENATE(ROUNDUP(F11-B11,1)," fewer "),"equal"))</f>
        <v xml:space="preserve">2.3 more </v>
      </c>
      <c r="K11" s="85" t="str">
        <f t="shared" si="0"/>
        <v xml:space="preserve">46% greater </v>
      </c>
      <c r="L11" s="18"/>
    </row>
    <row r="12" spans="1:14" ht="21.75" customHeight="1" thickTop="1">
      <c r="A12" s="30" t="s">
        <v>720</v>
      </c>
      <c r="B12" s="102">
        <f>VLOOKUP($B$1,Data!$A$5:$T$85,8)</f>
        <v>141.17536156</v>
      </c>
      <c r="C12" s="56" t="s">
        <v>2</v>
      </c>
      <c r="D12" s="57">
        <f>VLOOKUP($B$1,Data!$A$5:$T$85,15)</f>
        <v>5</v>
      </c>
      <c r="E12" s="18"/>
      <c r="F12" s="102">
        <f>VLOOKUP($F$1,Data!$A$5:$T$85,8)</f>
        <v>3145.0783167700006</v>
      </c>
      <c r="G12" s="56" t="s">
        <v>2</v>
      </c>
      <c r="H12" s="57" t="str">
        <f>VLOOKUP($F$1,Data!$A$5:$T$85,15)</f>
        <v>*</v>
      </c>
      <c r="I12" s="18"/>
      <c r="J12" s="76" t="str">
        <f>IF(B12&gt;F12,CONCATENATE("$",ROUNDUP(B12-F12,1)," million higher "),IF(F12&gt;B12,CONCATENATE("$",ROUNDUP(F12-B12,1)," million lower "),"equal"))</f>
        <v xml:space="preserve">$3004 million lower </v>
      </c>
      <c r="K12" s="83" t="str">
        <f t="shared" si="0"/>
        <v xml:space="preserve">96% less </v>
      </c>
      <c r="L12" s="18"/>
    </row>
    <row r="13" spans="1:14" ht="21.75" customHeight="1">
      <c r="A13" s="66" t="s">
        <v>571</v>
      </c>
      <c r="B13" s="89">
        <f>B12*1000000/365</f>
        <v>386781.8124931507</v>
      </c>
      <c r="C13" s="67"/>
      <c r="D13" s="70" t="s">
        <v>570</v>
      </c>
      <c r="E13" s="18"/>
      <c r="F13" s="191">
        <f>F12*1000000/365</f>
        <v>8616652.9226575363</v>
      </c>
      <c r="G13" s="191"/>
      <c r="H13" s="70" t="s">
        <v>570</v>
      </c>
      <c r="I13" s="18"/>
      <c r="J13" s="79" t="str">
        <f>IF(B13&gt;F13,CONCATENATE("$",ROUNDUP(B13-F13,0)," higher "),IF(F13&gt;B13,CONCATENATE("$",ROUNDUP(F13-B13,0)," lower "),"equal"))</f>
        <v xml:space="preserve">$8229872 lower </v>
      </c>
      <c r="K13" s="86" t="str">
        <f t="shared" si="0"/>
        <v xml:space="preserve">96% less </v>
      </c>
      <c r="L13" s="18"/>
    </row>
    <row r="14" spans="1:14" ht="21.75" customHeight="1" thickBot="1">
      <c r="A14" s="103" t="s">
        <v>721</v>
      </c>
      <c r="B14" s="61">
        <f>VLOOKUP($B$1,Data!$A$5:$T$85,16)</f>
        <v>1076.5688863579437</v>
      </c>
      <c r="C14" s="58"/>
      <c r="D14" s="68">
        <f>VLOOKUP($B$1,Data!$A$5:$T$85,17)</f>
        <v>2</v>
      </c>
      <c r="E14" s="18"/>
      <c r="F14" s="61">
        <f>VLOOKUP($F$1,Data!$A$5:$T$85,16)</f>
        <v>580.9036918338536</v>
      </c>
      <c r="G14" s="58"/>
      <c r="H14" s="68" t="str">
        <f>VLOOKUP($F$1,Data!$A$5:$T$85,17)</f>
        <v>*</v>
      </c>
      <c r="I14" s="18"/>
      <c r="J14" s="104" t="str">
        <f>IF(B14&gt;F14,CONCATENATE("$",ROUNDUP(B14-F14,0)," higher "),IF(F14&gt;B14,CONCATENATE("$",ROUNDUP(F14-B14,0)," lower "),"equal"))</f>
        <v xml:space="preserve">$496 higher </v>
      </c>
      <c r="K14" s="105" t="str">
        <f t="shared" si="0"/>
        <v xml:space="preserve">86% greater </v>
      </c>
      <c r="L14" s="18"/>
    </row>
    <row r="15" spans="1:14" ht="8.25" customHeight="1" thickTop="1" thickBot="1">
      <c r="A15"/>
      <c r="B15"/>
      <c r="C15"/>
      <c r="D15"/>
      <c r="E15"/>
      <c r="F15"/>
      <c r="G15"/>
      <c r="H15"/>
      <c r="I15"/>
      <c r="J15"/>
      <c r="K15"/>
      <c r="L15" s="18"/>
    </row>
    <row r="16" spans="1:14" ht="21.75" customHeight="1" thickTop="1" thickBot="1">
      <c r="A16" s="30" t="s">
        <v>722</v>
      </c>
      <c r="B16" s="99">
        <f>VLOOKUP($B$1,Data!$A$5:$T$85,18)</f>
        <v>2.357972933411224</v>
      </c>
      <c r="C16" s="31" t="s">
        <v>3</v>
      </c>
      <c r="D16" s="57">
        <f>VLOOKUP($B$1,Data!$A$5:$T$85,20)</f>
        <v>54</v>
      </c>
      <c r="E16" s="18"/>
      <c r="F16" s="99">
        <f>VLOOKUP($F$1,Data!$A$5:$T$85,18)</f>
        <v>3.7970659037003816</v>
      </c>
      <c r="G16" s="31" t="s">
        <v>3</v>
      </c>
      <c r="H16" s="57" t="str">
        <f>VLOOKUP($F$1,Data!$A$5:$T$85,20)</f>
        <v>*</v>
      </c>
      <c r="I16" s="18"/>
      <c r="J16" s="80" t="str">
        <f>IF(B16&gt;F16,CONCATENATE(ROUNDUP(B16-F16,1)," higher "),IF(F16&gt;B16,CONCATENATE(ROUNDUP(F16-B16,1)," lower "),"equal"))</f>
        <v xml:space="preserve">1.5 lower </v>
      </c>
      <c r="K16" s="87" t="str">
        <f>IF(B16&gt;F16,CONCATENATE(ROUNDUP((B16-F16)/F16*100,0),"% greater "),IF(F16&gt;B16,CONCATENATE(ROUNDUP((F16-B16)/F16*100,0),"% less "),"equal"))</f>
        <v xml:space="preserve">38% less </v>
      </c>
      <c r="L16" s="18"/>
    </row>
    <row r="17" spans="1:13" ht="21.75" customHeight="1" thickTop="1">
      <c r="A17" s="10" t="s">
        <v>595</v>
      </c>
      <c r="B17" s="54">
        <f>VLOOKUP($B$1,Data!$A$5:$T$85,19)</f>
        <v>0.32821143048239565</v>
      </c>
      <c r="C17" s="2" t="s">
        <v>3</v>
      </c>
      <c r="D17" s="71" t="s">
        <v>570</v>
      </c>
      <c r="E17" s="18"/>
      <c r="F17" s="54">
        <f>VLOOKUP($F$1,Data!$A$5:$T$85,19)</f>
        <v>1.7387671464032208</v>
      </c>
      <c r="G17" s="2" t="s">
        <v>3</v>
      </c>
      <c r="H17" s="71" t="s">
        <v>570</v>
      </c>
      <c r="I17" s="18"/>
      <c r="J17" s="81" t="str">
        <f>IF(B17&gt;F17,CONCATENATE(ROUNDUP(B17-F17,1)," higher "),IF(F17&gt;B17,CONCATENATE(ROUNDUP(F17-B17,1)," lower "),"equal"))</f>
        <v xml:space="preserve">1.5 lower </v>
      </c>
      <c r="K17" s="88" t="str">
        <f>IF(B17&gt;F17,CONCATENATE(ROUNDUP((B17-F17)/F17*100,0),"% greater "),IF(F17&gt;B17,CONCATENATE(ROUNDUP((F17-B17)/F17*100,0),"% less "),"equal"))</f>
        <v xml:space="preserve">82% less </v>
      </c>
      <c r="L17" s="18"/>
    </row>
    <row r="18" spans="1:13" ht="12" customHeight="1">
      <c r="A18" s="180" t="s">
        <v>725</v>
      </c>
      <c r="B18" s="180"/>
      <c r="C18" s="180"/>
      <c r="D18" s="180"/>
      <c r="E18" s="180"/>
      <c r="F18" s="180"/>
      <c r="G18" s="180"/>
      <c r="H18" s="180"/>
      <c r="I18" s="180"/>
      <c r="J18" s="180"/>
      <c r="K18" s="180"/>
      <c r="L18" s="18"/>
    </row>
    <row r="19" spans="1:13" ht="7.15" customHeight="1">
      <c r="A19" s="180"/>
      <c r="B19" s="180"/>
      <c r="C19" s="180"/>
      <c r="D19" s="180"/>
      <c r="E19" s="180"/>
      <c r="F19" s="180"/>
      <c r="G19" s="180"/>
      <c r="H19" s="180"/>
      <c r="I19" s="180"/>
      <c r="J19" s="180"/>
      <c r="K19" s="180"/>
      <c r="L19" s="18"/>
    </row>
    <row r="20" spans="1:13" ht="13.5" customHeight="1">
      <c r="A20" s="185" t="s">
        <v>726</v>
      </c>
      <c r="B20" s="185"/>
      <c r="C20" s="185"/>
      <c r="D20" s="185"/>
      <c r="E20" s="185"/>
      <c r="F20" s="185"/>
      <c r="G20" s="185"/>
      <c r="H20" s="185"/>
      <c r="I20" s="185"/>
      <c r="J20" s="185"/>
      <c r="K20" s="185"/>
    </row>
    <row r="21" spans="1:13" ht="13" customHeight="1">
      <c r="A21" s="185" t="s">
        <v>727</v>
      </c>
      <c r="B21" s="185"/>
      <c r="C21" s="185"/>
      <c r="D21" s="185"/>
      <c r="E21" s="185"/>
      <c r="F21" s="185"/>
      <c r="G21" s="185"/>
      <c r="H21" s="185"/>
      <c r="I21" s="185"/>
      <c r="J21" s="185"/>
      <c r="K21" s="185"/>
    </row>
    <row r="22" spans="1:13" ht="11.5" customHeight="1">
      <c r="A22" s="185" t="s">
        <v>693</v>
      </c>
      <c r="B22" s="185"/>
      <c r="C22" s="185"/>
      <c r="D22" s="185"/>
      <c r="E22" s="185"/>
      <c r="F22" s="185"/>
      <c r="G22" s="185"/>
      <c r="H22" s="185"/>
      <c r="I22" s="185"/>
      <c r="J22" s="185"/>
      <c r="K22" s="185"/>
      <c r="L22" s="25"/>
      <c r="M22" s="25"/>
    </row>
    <row r="23" spans="1:13" ht="12" customHeight="1">
      <c r="A23" s="179" t="s">
        <v>724</v>
      </c>
      <c r="B23" s="179"/>
      <c r="C23" s="179"/>
      <c r="D23" s="179"/>
      <c r="E23" s="179"/>
      <c r="F23" s="179"/>
      <c r="G23" s="179"/>
      <c r="H23" s="179"/>
      <c r="I23" s="179"/>
      <c r="J23" s="179"/>
      <c r="K23" s="179"/>
    </row>
    <row r="24" spans="1:13" ht="12" customHeight="1">
      <c r="A24" s="178" t="s">
        <v>719</v>
      </c>
      <c r="B24" s="178"/>
      <c r="C24" s="178"/>
      <c r="D24" s="178"/>
      <c r="E24" s="178"/>
      <c r="F24" s="178"/>
      <c r="G24" s="178"/>
      <c r="H24" s="178"/>
      <c r="I24" s="178"/>
      <c r="J24" s="178"/>
      <c r="K24" s="178"/>
    </row>
    <row r="25" spans="1:13" ht="12" customHeight="1">
      <c r="A25" s="178"/>
      <c r="B25" s="178"/>
      <c r="C25" s="178"/>
      <c r="D25" s="178"/>
      <c r="E25" s="178"/>
      <c r="F25" s="178"/>
      <c r="G25" s="178"/>
      <c r="H25" s="178"/>
      <c r="I25" s="178"/>
      <c r="J25" s="178"/>
      <c r="K25" s="178"/>
    </row>
    <row r="26" spans="1:13" ht="12" customHeight="1"/>
    <row r="27" spans="1:13" ht="12" customHeight="1">
      <c r="A27" s="15"/>
      <c r="B27" s="15"/>
      <c r="C27" s="17"/>
      <c r="D27" s="17"/>
      <c r="F27" s="19"/>
      <c r="G27" s="20"/>
      <c r="H27" s="21"/>
      <c r="I27" s="21"/>
      <c r="J27" s="21"/>
      <c r="K27" s="21"/>
    </row>
    <row r="28" spans="1:13" ht="12" customHeight="1">
      <c r="C28" s="7"/>
      <c r="D28" s="7"/>
      <c r="E28" s="18"/>
      <c r="F28" s="19"/>
      <c r="G28" s="20"/>
      <c r="H28" s="21"/>
      <c r="I28" s="21"/>
      <c r="J28" s="21"/>
      <c r="K28" s="21"/>
    </row>
    <row r="29" spans="1:13" ht="12" customHeight="1">
      <c r="C29" s="7"/>
      <c r="D29" s="7"/>
      <c r="E29" s="18"/>
      <c r="F29" s="19"/>
      <c r="G29" s="20"/>
      <c r="H29" s="21"/>
      <c r="I29" s="21"/>
      <c r="J29" s="21"/>
      <c r="K29" s="21"/>
    </row>
    <row r="30" spans="1:13" ht="12" customHeight="1">
      <c r="C30" s="7"/>
      <c r="D30" s="7"/>
      <c r="E30" s="18"/>
      <c r="F30" s="19"/>
      <c r="G30" s="20"/>
      <c r="H30" s="21"/>
      <c r="I30" s="21"/>
      <c r="J30" s="21"/>
      <c r="K30" s="21"/>
    </row>
    <row r="31" spans="1:13" ht="12" customHeight="1">
      <c r="C31" s="7"/>
      <c r="D31" s="7"/>
      <c r="E31" s="18"/>
      <c r="F31" s="19"/>
      <c r="G31" s="20"/>
      <c r="H31" s="21"/>
      <c r="I31" s="21"/>
      <c r="J31" s="21"/>
      <c r="K31" s="21"/>
    </row>
    <row r="32" spans="1:13" ht="12" customHeight="1">
      <c r="C32" s="7"/>
      <c r="D32" s="7"/>
      <c r="E32" s="18"/>
      <c r="F32" s="19"/>
      <c r="G32" s="20"/>
      <c r="H32" s="21"/>
      <c r="I32" s="21"/>
      <c r="J32" s="21"/>
      <c r="K32" s="21"/>
    </row>
    <row r="33" spans="3:11" ht="12" customHeight="1">
      <c r="C33" s="7"/>
      <c r="D33" s="7"/>
      <c r="E33" s="18"/>
      <c r="F33" s="19"/>
      <c r="G33" s="20"/>
      <c r="H33" s="21"/>
      <c r="I33" s="21"/>
      <c r="J33" s="21"/>
      <c r="K33" s="21"/>
    </row>
    <row r="34" spans="3:11" ht="12" customHeight="1">
      <c r="C34" s="7"/>
      <c r="D34" s="7"/>
      <c r="E34" s="18"/>
      <c r="F34" s="19"/>
      <c r="G34" s="20"/>
      <c r="H34" s="21"/>
      <c r="I34" s="21"/>
      <c r="J34" s="21"/>
      <c r="K34" s="21"/>
    </row>
    <row r="35" spans="3:11" ht="12" customHeight="1">
      <c r="C35" s="7"/>
      <c r="D35" s="7"/>
      <c r="E35" s="18"/>
      <c r="F35" s="19"/>
      <c r="G35" s="20"/>
      <c r="H35" s="21"/>
      <c r="I35" s="21"/>
      <c r="J35" s="21"/>
      <c r="K35" s="21"/>
    </row>
    <row r="36" spans="3:11" ht="12" customHeight="1">
      <c r="C36" s="7"/>
      <c r="D36" s="7"/>
      <c r="E36" s="18"/>
      <c r="F36" s="19"/>
      <c r="G36" s="20"/>
      <c r="H36" s="21"/>
      <c r="I36" s="21"/>
      <c r="J36" s="21"/>
      <c r="K36" s="21"/>
    </row>
    <row r="37" spans="3:11" ht="12" customHeight="1">
      <c r="C37" s="7"/>
      <c r="D37" s="7"/>
      <c r="E37" s="18"/>
      <c r="F37" s="19"/>
      <c r="G37" s="20"/>
      <c r="H37" s="21"/>
      <c r="I37" s="21"/>
      <c r="J37" s="21"/>
      <c r="K37" s="21"/>
    </row>
    <row r="38" spans="3:11" ht="12" customHeight="1">
      <c r="C38" s="7"/>
      <c r="D38" s="7"/>
      <c r="E38" s="18"/>
      <c r="F38" s="19"/>
      <c r="G38" s="20"/>
      <c r="H38" s="21"/>
      <c r="I38" s="21"/>
      <c r="J38" s="21"/>
      <c r="K38" s="21"/>
    </row>
    <row r="39" spans="3:11" ht="12" customHeight="1">
      <c r="C39" s="7"/>
      <c r="D39" s="7"/>
      <c r="E39" s="18"/>
      <c r="F39" s="19"/>
      <c r="G39" s="18"/>
      <c r="H39" s="21"/>
      <c r="I39" s="21"/>
      <c r="J39" s="21"/>
      <c r="K39" s="21"/>
    </row>
    <row r="40" spans="3:11" ht="12" customHeight="1">
      <c r="C40" s="7"/>
      <c r="D40" s="7"/>
      <c r="E40" s="18"/>
      <c r="F40" s="19"/>
      <c r="G40" s="20"/>
      <c r="H40" s="21"/>
      <c r="I40" s="21"/>
      <c r="J40" s="21"/>
      <c r="K40" s="21"/>
    </row>
    <row r="41" spans="3:11">
      <c r="C41" s="7"/>
      <c r="D41" s="7"/>
      <c r="E41" s="18"/>
      <c r="F41" s="19"/>
      <c r="G41" s="20"/>
      <c r="H41" s="21"/>
      <c r="I41" s="21"/>
      <c r="J41" s="21"/>
      <c r="K41" s="21"/>
    </row>
    <row r="42" spans="3:11">
      <c r="C42" s="7"/>
      <c r="D42" s="7"/>
      <c r="E42" s="18"/>
      <c r="F42" s="19"/>
      <c r="G42" s="20"/>
      <c r="H42" s="21"/>
      <c r="I42" s="21"/>
      <c r="J42" s="21"/>
      <c r="K42" s="21"/>
    </row>
    <row r="43" spans="3:11">
      <c r="C43" s="7"/>
      <c r="D43" s="7"/>
      <c r="E43" s="18"/>
      <c r="F43" s="19"/>
      <c r="G43" s="20"/>
      <c r="H43" s="21"/>
      <c r="I43" s="21"/>
      <c r="J43" s="21"/>
      <c r="K43" s="21"/>
    </row>
    <row r="44" spans="3:11">
      <c r="C44" s="7"/>
      <c r="D44" s="7"/>
      <c r="E44" s="18"/>
      <c r="F44" s="19"/>
      <c r="G44" s="20"/>
      <c r="H44" s="21"/>
      <c r="I44" s="21"/>
      <c r="J44" s="21"/>
      <c r="K44" s="21"/>
    </row>
    <row r="45" spans="3:11">
      <c r="C45" s="7"/>
      <c r="D45" s="7"/>
      <c r="E45" s="18"/>
      <c r="F45" s="18"/>
      <c r="G45" s="18"/>
      <c r="H45" s="18"/>
      <c r="I45" s="22"/>
      <c r="J45" s="18"/>
      <c r="K45" s="18"/>
    </row>
    <row r="46" spans="3:11">
      <c r="C46" s="7"/>
      <c r="D46" s="7"/>
      <c r="E46" s="18"/>
      <c r="I46" s="16"/>
    </row>
    <row r="47" spans="3:11">
      <c r="C47" s="7"/>
      <c r="D47" s="7"/>
      <c r="E47" s="18"/>
      <c r="I47" s="16"/>
    </row>
    <row r="48" spans="3:11">
      <c r="C48" s="7"/>
      <c r="D48" s="7"/>
      <c r="E48" s="18"/>
    </row>
    <row r="49" spans="3:12">
      <c r="C49" s="7"/>
      <c r="D49" s="7"/>
      <c r="E49" s="18"/>
      <c r="I49" s="16"/>
    </row>
    <row r="50" spans="3:12">
      <c r="C50" s="7"/>
      <c r="D50" s="7"/>
      <c r="E50" s="18"/>
      <c r="F50" s="18"/>
      <c r="G50" s="18"/>
      <c r="H50" s="18"/>
      <c r="I50" s="22"/>
      <c r="J50" s="18"/>
      <c r="K50" s="18"/>
      <c r="L50" s="18"/>
    </row>
    <row r="51" spans="3:12">
      <c r="C51" s="7"/>
      <c r="D51" s="7"/>
      <c r="E51" s="18"/>
      <c r="F51" s="18"/>
      <c r="G51" s="18"/>
      <c r="H51" s="18"/>
      <c r="I51" s="18"/>
      <c r="J51" s="18"/>
      <c r="K51" s="18"/>
      <c r="L51" s="18"/>
    </row>
    <row r="52" spans="3:12">
      <c r="C52" s="7"/>
      <c r="D52" s="7"/>
      <c r="E52" s="18"/>
      <c r="F52" s="18"/>
      <c r="G52" s="18"/>
      <c r="H52" s="18"/>
      <c r="I52" s="18"/>
      <c r="J52" s="18"/>
      <c r="K52" s="18"/>
      <c r="L52" s="18"/>
    </row>
    <row r="53" spans="3:12">
      <c r="C53" s="7"/>
      <c r="D53" s="7"/>
      <c r="E53" s="18"/>
      <c r="F53" s="18"/>
      <c r="G53" s="18"/>
      <c r="H53" s="18"/>
      <c r="I53" s="22"/>
      <c r="J53" s="18"/>
      <c r="K53" s="18"/>
      <c r="L53" s="18"/>
    </row>
    <row r="54" spans="3:12">
      <c r="C54" s="7"/>
      <c r="D54" s="7"/>
      <c r="E54" s="18"/>
      <c r="F54" s="18"/>
      <c r="G54" s="18"/>
      <c r="H54" s="18"/>
      <c r="I54" s="18"/>
      <c r="J54" s="18"/>
      <c r="K54" s="18"/>
      <c r="L54" s="18"/>
    </row>
    <row r="55" spans="3:12">
      <c r="C55" s="7"/>
      <c r="D55" s="7"/>
      <c r="E55" s="18"/>
      <c r="F55" s="18"/>
      <c r="G55" s="18"/>
      <c r="H55" s="18"/>
      <c r="I55" s="22"/>
      <c r="J55" s="18"/>
      <c r="K55" s="18"/>
      <c r="L55" s="18"/>
    </row>
    <row r="56" spans="3:12">
      <c r="C56" s="7"/>
      <c r="D56" s="7"/>
      <c r="E56" s="18"/>
      <c r="F56" s="18"/>
      <c r="G56" s="18"/>
      <c r="H56" s="18"/>
      <c r="I56" s="18"/>
      <c r="J56" s="18"/>
      <c r="K56" s="18"/>
      <c r="L56" s="18"/>
    </row>
    <row r="57" spans="3:12">
      <c r="C57" s="8"/>
      <c r="D57" s="8"/>
      <c r="E57" s="18"/>
      <c r="F57" s="18"/>
      <c r="G57" s="18"/>
      <c r="H57" s="18"/>
      <c r="I57" s="18"/>
      <c r="J57" s="18"/>
      <c r="K57" s="18"/>
      <c r="L57" s="18"/>
    </row>
    <row r="58" spans="3:12">
      <c r="C58" s="8"/>
      <c r="D58" s="8"/>
      <c r="E58" s="18"/>
      <c r="F58" s="18"/>
      <c r="G58" s="18"/>
      <c r="H58" s="18"/>
      <c r="I58" s="22"/>
      <c r="J58" s="18"/>
      <c r="K58" s="18"/>
      <c r="L58" s="18"/>
    </row>
    <row r="59" spans="3:12">
      <c r="C59" s="8"/>
      <c r="D59" s="8"/>
    </row>
    <row r="60" spans="3:12">
      <c r="C60" s="8"/>
      <c r="D60" s="8"/>
    </row>
    <row r="61" spans="3:12">
      <c r="C61" s="7"/>
      <c r="D61" s="7"/>
    </row>
    <row r="62" spans="3:12">
      <c r="C62" s="8"/>
      <c r="D62" s="8"/>
      <c r="I62" s="16"/>
    </row>
    <row r="63" spans="3:12">
      <c r="C63" s="8"/>
      <c r="D63" s="8"/>
      <c r="I63" s="16"/>
    </row>
    <row r="64" spans="3:12">
      <c r="C64" s="7"/>
      <c r="D64" s="7"/>
    </row>
    <row r="65" spans="3:9">
      <c r="C65" s="7"/>
      <c r="D65" s="7"/>
      <c r="I65" s="16"/>
    </row>
    <row r="66" spans="3:9">
      <c r="C66" s="8"/>
      <c r="D66" s="8"/>
      <c r="I66" s="16"/>
    </row>
    <row r="67" spans="3:9">
      <c r="C67" s="8"/>
      <c r="D67" s="8"/>
    </row>
    <row r="68" spans="3:9">
      <c r="C68" s="8"/>
      <c r="D68" s="8"/>
      <c r="I68" s="16"/>
    </row>
    <row r="69" spans="3:9">
      <c r="C69" s="7"/>
      <c r="D69" s="7"/>
      <c r="I69" s="16"/>
    </row>
    <row r="70" spans="3:9">
      <c r="C70" s="8"/>
      <c r="D70" s="8"/>
      <c r="I70" s="16"/>
    </row>
    <row r="71" spans="3:9">
      <c r="C71" s="7"/>
      <c r="D71" s="7"/>
    </row>
    <row r="72" spans="3:9">
      <c r="C72" s="7"/>
      <c r="D72" s="7"/>
      <c r="G72" s="17"/>
      <c r="I72" s="16"/>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sheetProtection sheet="1" objects="1" scenarios="1"/>
  <mergeCells count="14">
    <mergeCell ref="A24:K25"/>
    <mergeCell ref="A23:K23"/>
    <mergeCell ref="A18:K19"/>
    <mergeCell ref="J3:J7"/>
    <mergeCell ref="B3:D4"/>
    <mergeCell ref="B7:C7"/>
    <mergeCell ref="A20:K20"/>
    <mergeCell ref="A21:K21"/>
    <mergeCell ref="A22:K22"/>
    <mergeCell ref="F7:G7"/>
    <mergeCell ref="F5:H6"/>
    <mergeCell ref="A5:D6"/>
    <mergeCell ref="F13:G13"/>
    <mergeCell ref="K3:K7"/>
  </mergeCells>
  <phoneticPr fontId="5" type="noConversion"/>
  <conditionalFormatting sqref="A9:D14 A16:D17">
    <cfRule type="expression" dxfId="3" priority="18" stopIfTrue="1">
      <formula>AND($D9&lt;16,$D9&gt;0)</formula>
    </cfRule>
  </conditionalFormatting>
  <conditionalFormatting sqref="D11">
    <cfRule type="expression" dxfId="2" priority="9" stopIfTrue="1">
      <formula>AND($D11&lt;16,$D11&gt;0)</formula>
    </cfRule>
  </conditionalFormatting>
  <pageMargins left="0.78740157480314965" right="0.39370078740157483" top="1.5748031496062993"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222250</xdr:rowOff>
                  </from>
                  <to>
                    <xdr:col>4</xdr:col>
                    <xdr:colOff>0</xdr:colOff>
                    <xdr:row>3</xdr:row>
                    <xdr:rowOff>50800</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107950</xdr:colOff>
                    <xdr:row>1</xdr:row>
                    <xdr:rowOff>222250</xdr:rowOff>
                  </from>
                  <to>
                    <xdr:col>7</xdr:col>
                    <xdr:colOff>508000</xdr:colOff>
                    <xdr:row>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V144"/>
  <sheetViews>
    <sheetView showGridLines="0" showRowColHeaders="0" zoomScale="75" zoomScaleNormal="75" workbookViewId="0">
      <pane xSplit="10" ySplit="8" topLeftCell="K9" activePane="bottomRight" state="frozen"/>
      <selection pane="topRight" activeCell="K1" sqref="K1"/>
      <selection pane="bottomLeft" activeCell="A9" sqref="A9"/>
      <selection pane="bottomRight" activeCell="K8" sqref="K8"/>
    </sheetView>
  </sheetViews>
  <sheetFormatPr defaultRowHeight="12.5"/>
  <cols>
    <col min="2" max="2" width="2.7265625" bestFit="1" customWidth="1"/>
    <col min="3" max="3" width="2.36328125" customWidth="1"/>
    <col min="4" max="4" width="31.7265625" bestFit="1" customWidth="1"/>
    <col min="8" max="9" width="9.08984375" style="33"/>
    <col min="11" max="15" width="8.7265625" style="32"/>
    <col min="16" max="16" width="9.08984375" style="32"/>
    <col min="17" max="17" width="13" style="32" customWidth="1"/>
    <col min="18" max="19" width="9.08984375" style="32"/>
    <col min="20" max="22" width="8.7265625" style="32"/>
  </cols>
  <sheetData>
    <row r="1" spans="1:22" ht="21" customHeight="1"/>
    <row r="3" spans="1:22" ht="1.5" customHeight="1">
      <c r="D3" s="32"/>
      <c r="E3" s="32"/>
      <c r="F3" s="32"/>
      <c r="G3" s="32"/>
      <c r="H3" s="98"/>
    </row>
    <row r="4" spans="1:22" ht="1.5" customHeight="1">
      <c r="D4" s="32"/>
      <c r="E4" s="32"/>
      <c r="F4" s="32"/>
      <c r="G4" s="32"/>
      <c r="H4" s="98"/>
      <c r="Q4" s="59"/>
    </row>
    <row r="5" spans="1:22">
      <c r="D5" s="32"/>
      <c r="E5" s="32"/>
      <c r="F5" s="32"/>
      <c r="G5" s="32"/>
      <c r="H5" s="98"/>
      <c r="P5" s="59"/>
      <c r="Q5" s="59"/>
      <c r="R5" s="59"/>
    </row>
    <row r="6" spans="1:22" s="124" customFormat="1">
      <c r="A6" s="32"/>
      <c r="B6" s="32"/>
      <c r="C6" s="32"/>
      <c r="D6" s="145">
        <v>6</v>
      </c>
      <c r="E6" s="145">
        <f>INDEX(P6:P12,D6)</f>
        <v>16</v>
      </c>
      <c r="F6" s="32"/>
      <c r="G6" s="32"/>
      <c r="H6" s="98"/>
      <c r="I6" s="98"/>
      <c r="J6" s="32"/>
      <c r="K6" s="32"/>
      <c r="L6" s="32"/>
      <c r="M6" s="32"/>
      <c r="N6" s="32"/>
      <c r="O6" s="32"/>
      <c r="P6" s="151">
        <v>5</v>
      </c>
      <c r="Q6" s="151" t="s">
        <v>567</v>
      </c>
      <c r="R6" s="59"/>
      <c r="S6" s="32"/>
      <c r="T6" s="32"/>
      <c r="U6" s="32"/>
      <c r="V6" s="32"/>
    </row>
    <row r="7" spans="1:22" s="124" customFormat="1">
      <c r="A7" s="32"/>
      <c r="B7" s="32"/>
      <c r="C7" s="32"/>
      <c r="D7" s="32"/>
      <c r="E7" s="32"/>
      <c r="F7" s="32"/>
      <c r="G7" s="32"/>
      <c r="H7" s="98"/>
      <c r="I7" s="98"/>
      <c r="J7" s="32"/>
      <c r="K7" s="32"/>
      <c r="L7" s="32"/>
      <c r="M7" s="32"/>
      <c r="N7" s="32"/>
      <c r="O7" s="32"/>
      <c r="P7" s="151">
        <v>6</v>
      </c>
      <c r="Q7" s="151" t="s">
        <v>568</v>
      </c>
      <c r="R7" s="59"/>
      <c r="S7" s="32"/>
      <c r="T7" s="32"/>
      <c r="U7" s="32"/>
      <c r="V7" s="32"/>
    </row>
    <row r="8" spans="1:22" s="124" customFormat="1" ht="10.9" customHeight="1">
      <c r="A8" s="59"/>
      <c r="B8" s="59"/>
      <c r="C8" s="59"/>
      <c r="D8" s="59"/>
      <c r="E8" s="146" t="s">
        <v>553</v>
      </c>
      <c r="F8" s="146" t="s">
        <v>554</v>
      </c>
      <c r="G8" s="146" t="s">
        <v>555</v>
      </c>
      <c r="H8" s="147"/>
      <c r="I8" s="60"/>
      <c r="J8" s="59"/>
      <c r="K8" s="32"/>
      <c r="L8" s="32"/>
      <c r="M8" s="32"/>
      <c r="N8" s="32"/>
      <c r="O8" s="32"/>
      <c r="P8" s="151">
        <v>7</v>
      </c>
      <c r="Q8" s="151"/>
      <c r="R8" s="59"/>
      <c r="S8" s="32"/>
      <c r="T8" s="32"/>
      <c r="U8" s="32"/>
      <c r="V8" s="32"/>
    </row>
    <row r="9" spans="1:22" s="124" customFormat="1" ht="10.9" customHeight="1">
      <c r="A9" s="59"/>
      <c r="B9" s="148">
        <v>1</v>
      </c>
      <c r="C9" s="148">
        <v>1</v>
      </c>
      <c r="D9" s="149" t="s">
        <v>4</v>
      </c>
      <c r="E9" s="148">
        <f>VLOOKUP(B9,Data!$A$5:$T$85,$E$6)</f>
        <v>287.56808854309594</v>
      </c>
      <c r="F9" s="148">
        <f t="shared" ref="F9:F62" si="0">E9+0.00001*B9</f>
        <v>287.56809854309591</v>
      </c>
      <c r="G9" s="148">
        <f t="shared" ref="G9:G40" si="1">RANK(F9,F$9:F$78)</f>
        <v>55</v>
      </c>
      <c r="H9" s="150" t="str">
        <f t="shared" ref="H9:H40" si="2">VLOOKUP(MATCH(C9,G$9:G$78,0),$C$9:$G$78,2)</f>
        <v xml:space="preserve">Brimbank </v>
      </c>
      <c r="I9" s="150">
        <f t="shared" ref="I9:I40" si="3">VLOOKUP(MATCH(C9,G$9:G$78,0),$C$9:$G$78,3)</f>
        <v>1128.9454926934757</v>
      </c>
      <c r="J9" s="59"/>
      <c r="K9" s="32"/>
      <c r="L9" s="32"/>
      <c r="M9" s="32"/>
      <c r="N9" s="32"/>
      <c r="O9" s="32"/>
      <c r="P9" s="151">
        <v>8</v>
      </c>
      <c r="Q9" s="151" t="s">
        <v>706</v>
      </c>
      <c r="R9" s="59"/>
      <c r="S9" s="32"/>
      <c r="T9" s="32"/>
      <c r="U9" s="32"/>
      <c r="V9" s="32"/>
    </row>
    <row r="10" spans="1:22" s="124" customFormat="1" ht="10.9" customHeight="1">
      <c r="A10" s="59"/>
      <c r="B10" s="148">
        <v>2</v>
      </c>
      <c r="C10" s="148">
        <v>2</v>
      </c>
      <c r="D10" s="149" t="s">
        <v>5</v>
      </c>
      <c r="E10" s="148">
        <f>VLOOKUP(B10,Data!$A$5:$T$85,$E$6)</f>
        <v>712.26450923082825</v>
      </c>
      <c r="F10" s="148">
        <f t="shared" si="0"/>
        <v>712.2645292308282</v>
      </c>
      <c r="G10" s="148">
        <f t="shared" si="1"/>
        <v>17</v>
      </c>
      <c r="H10" s="150" t="str">
        <f t="shared" si="2"/>
        <v xml:space="preserve">Greater Dandenong </v>
      </c>
      <c r="I10" s="150">
        <f t="shared" si="3"/>
        <v>1076.5688863579437</v>
      </c>
      <c r="J10" s="59"/>
      <c r="K10" s="32"/>
      <c r="L10" s="165"/>
      <c r="M10" s="32"/>
      <c r="N10" s="32"/>
      <c r="O10" s="32"/>
      <c r="P10" s="151">
        <v>13</v>
      </c>
      <c r="Q10" s="151" t="s">
        <v>739</v>
      </c>
      <c r="R10" s="34"/>
      <c r="S10" s="32"/>
      <c r="T10" s="32"/>
      <c r="U10" s="32"/>
      <c r="V10" s="32"/>
    </row>
    <row r="11" spans="1:22" s="124" customFormat="1" ht="10.9" customHeight="1">
      <c r="A11" s="59"/>
      <c r="B11" s="148">
        <v>3</v>
      </c>
      <c r="C11" s="148">
        <v>3</v>
      </c>
      <c r="D11" s="149" t="s">
        <v>6</v>
      </c>
      <c r="E11" s="148">
        <f>VLOOKUP(B11,Data!$A$5:$T$85,$E$6)</f>
        <v>718.87823549444192</v>
      </c>
      <c r="F11" s="148">
        <f t="shared" si="0"/>
        <v>718.87826549444196</v>
      </c>
      <c r="G11" s="148">
        <f t="shared" si="1"/>
        <v>16</v>
      </c>
      <c r="H11" s="150" t="str">
        <f t="shared" si="2"/>
        <v xml:space="preserve">Mildura </v>
      </c>
      <c r="I11" s="150">
        <f t="shared" si="3"/>
        <v>920.86196953277761</v>
      </c>
      <c r="J11" s="59"/>
      <c r="K11" s="32"/>
      <c r="L11" s="32"/>
      <c r="M11" s="32"/>
      <c r="N11" s="32"/>
      <c r="O11" s="32"/>
      <c r="P11" s="151">
        <v>16</v>
      </c>
      <c r="Q11" s="151" t="s">
        <v>713</v>
      </c>
      <c r="R11" s="59"/>
      <c r="S11" s="32"/>
      <c r="T11" s="32"/>
      <c r="U11" s="32"/>
      <c r="V11" s="32"/>
    </row>
    <row r="12" spans="1:22" s="124" customFormat="1" ht="10.9" customHeight="1">
      <c r="A12" s="59"/>
      <c r="B12" s="148">
        <v>4</v>
      </c>
      <c r="C12" s="148">
        <v>4</v>
      </c>
      <c r="D12" s="149" t="s">
        <v>7</v>
      </c>
      <c r="E12" s="148">
        <f>VLOOKUP(B12,Data!$A$5:$T$85,$E$6)</f>
        <v>574.77878949815363</v>
      </c>
      <c r="F12" s="148">
        <f t="shared" si="0"/>
        <v>574.77882949815364</v>
      </c>
      <c r="G12" s="148">
        <f t="shared" si="1"/>
        <v>34</v>
      </c>
      <c r="H12" s="150" t="str">
        <f t="shared" si="2"/>
        <v xml:space="preserve">Maribyrnong </v>
      </c>
      <c r="I12" s="150">
        <f t="shared" si="3"/>
        <v>887.76163931656674</v>
      </c>
      <c r="J12" s="59"/>
      <c r="K12" s="32"/>
      <c r="L12" s="32"/>
      <c r="M12" s="32"/>
      <c r="N12" s="32"/>
      <c r="O12" s="32"/>
      <c r="P12" s="151">
        <v>18</v>
      </c>
      <c r="Q12" s="151" t="s">
        <v>740</v>
      </c>
      <c r="R12" s="59"/>
      <c r="S12" s="32"/>
      <c r="T12" s="32"/>
      <c r="U12" s="32"/>
      <c r="V12" s="32"/>
    </row>
    <row r="13" spans="1:22" s="124" customFormat="1" ht="10.9" customHeight="1">
      <c r="A13" s="59"/>
      <c r="B13" s="148">
        <v>5</v>
      </c>
      <c r="C13" s="148">
        <v>5</v>
      </c>
      <c r="D13" s="149" t="s">
        <v>8</v>
      </c>
      <c r="E13" s="148">
        <f>VLOOKUP(B13,Data!$A$5:$T$85,$E$6)</f>
        <v>588.01695073822293</v>
      </c>
      <c r="F13" s="148">
        <f t="shared" si="0"/>
        <v>588.01700073822292</v>
      </c>
      <c r="G13" s="148">
        <f t="shared" si="1"/>
        <v>30</v>
      </c>
      <c r="H13" s="150" t="str">
        <f t="shared" si="2"/>
        <v xml:space="preserve">Warrnambool </v>
      </c>
      <c r="I13" s="150">
        <f t="shared" si="3"/>
        <v>861.59601115514067</v>
      </c>
      <c r="J13" s="59"/>
      <c r="K13" s="32"/>
      <c r="L13" s="32"/>
      <c r="M13" s="32"/>
      <c r="N13" s="32"/>
      <c r="O13" s="32"/>
      <c r="P13" s="34"/>
      <c r="Q13" s="34"/>
      <c r="R13" s="59"/>
      <c r="S13" s="32"/>
      <c r="T13" s="32"/>
      <c r="U13" s="32"/>
      <c r="V13" s="32"/>
    </row>
    <row r="14" spans="1:22" s="124" customFormat="1" ht="10.9" customHeight="1">
      <c r="A14" s="59"/>
      <c r="B14" s="148">
        <v>6</v>
      </c>
      <c r="C14" s="148">
        <v>6</v>
      </c>
      <c r="D14" s="149" t="s">
        <v>9</v>
      </c>
      <c r="E14" s="148">
        <f>VLOOKUP(B14,Data!$A$5:$T$85,$E$6)</f>
        <v>461.33089104497725</v>
      </c>
      <c r="F14" s="148">
        <f t="shared" si="0"/>
        <v>461.33095104497727</v>
      </c>
      <c r="G14" s="148">
        <f t="shared" si="1"/>
        <v>41</v>
      </c>
      <c r="H14" s="150" t="str">
        <f t="shared" si="2"/>
        <v xml:space="preserve">Horsham </v>
      </c>
      <c r="I14" s="150">
        <f t="shared" si="3"/>
        <v>843.441072808179</v>
      </c>
      <c r="J14" s="59"/>
      <c r="K14" s="32"/>
      <c r="L14" s="32"/>
      <c r="M14" s="32"/>
      <c r="N14" s="32"/>
      <c r="O14" s="32"/>
      <c r="P14" s="164"/>
      <c r="Q14" s="34"/>
      <c r="R14" s="32"/>
      <c r="S14" s="32"/>
      <c r="T14" s="32"/>
      <c r="U14" s="32"/>
      <c r="V14" s="32"/>
    </row>
    <row r="15" spans="1:22" s="124" customFormat="1" ht="10.9" customHeight="1">
      <c r="A15" s="59"/>
      <c r="B15" s="148">
        <v>7</v>
      </c>
      <c r="C15" s="148">
        <v>7</v>
      </c>
      <c r="D15" s="149" t="s">
        <v>10</v>
      </c>
      <c r="E15" s="148">
        <f>VLOOKUP(B15,Data!$A$5:$T$85,$E$6)</f>
        <v>151.61852138031117</v>
      </c>
      <c r="F15" s="148">
        <f t="shared" si="0"/>
        <v>151.61859138031116</v>
      </c>
      <c r="G15" s="148">
        <f t="shared" si="1"/>
        <v>67</v>
      </c>
      <c r="H15" s="150" t="str">
        <f t="shared" si="2"/>
        <v xml:space="preserve">Greater Shepparton </v>
      </c>
      <c r="I15" s="150">
        <f t="shared" si="3"/>
        <v>838.94918779898126</v>
      </c>
      <c r="J15" s="59"/>
      <c r="K15" s="32"/>
      <c r="L15" s="32"/>
      <c r="M15" s="32"/>
      <c r="N15" s="32"/>
      <c r="O15" s="32"/>
      <c r="P15" s="32"/>
      <c r="Q15" s="32"/>
      <c r="R15" s="32"/>
      <c r="S15" s="32"/>
      <c r="T15" s="32"/>
      <c r="U15" s="32"/>
      <c r="V15" s="32"/>
    </row>
    <row r="16" spans="1:22" s="124" customFormat="1" ht="10.9" customHeight="1">
      <c r="A16" s="59"/>
      <c r="B16" s="148">
        <v>8</v>
      </c>
      <c r="C16" s="148">
        <v>8</v>
      </c>
      <c r="D16" s="149" t="s">
        <v>11</v>
      </c>
      <c r="E16" s="148">
        <f>VLOOKUP(B16,Data!$A$5:$T$85,$E$6)</f>
        <v>549.87980179782323</v>
      </c>
      <c r="F16" s="148">
        <f t="shared" si="0"/>
        <v>549.87988179782326</v>
      </c>
      <c r="G16" s="148">
        <f t="shared" si="1"/>
        <v>38</v>
      </c>
      <c r="H16" s="150" t="str">
        <f t="shared" si="2"/>
        <v xml:space="preserve">Moonee Valley </v>
      </c>
      <c r="I16" s="150">
        <f t="shared" si="3"/>
        <v>834.14154070514383</v>
      </c>
      <c r="J16" s="59"/>
      <c r="K16" s="32"/>
      <c r="L16" s="32"/>
      <c r="M16" s="32"/>
      <c r="N16" s="32"/>
      <c r="O16" s="32"/>
      <c r="P16" s="32"/>
      <c r="Q16" s="32"/>
      <c r="R16" s="32"/>
      <c r="S16" s="32"/>
      <c r="T16" s="32"/>
      <c r="U16" s="32"/>
      <c r="V16" s="32"/>
    </row>
    <row r="17" spans="1:22" s="124" customFormat="1" ht="10.9" customHeight="1">
      <c r="A17" s="59"/>
      <c r="B17" s="148">
        <v>9</v>
      </c>
      <c r="C17" s="148">
        <v>9</v>
      </c>
      <c r="D17" s="149" t="s">
        <v>12</v>
      </c>
      <c r="E17" s="148">
        <f>VLOOKUP(B17,Data!$A$5:$T$85,$E$6)</f>
        <v>137.25518527232322</v>
      </c>
      <c r="F17" s="148">
        <f t="shared" si="0"/>
        <v>137.25527527232322</v>
      </c>
      <c r="G17" s="148">
        <f t="shared" si="1"/>
        <v>68</v>
      </c>
      <c r="H17" s="150" t="str">
        <f t="shared" si="2"/>
        <v xml:space="preserve">Latrobe </v>
      </c>
      <c r="I17" s="150">
        <f t="shared" si="3"/>
        <v>821.45347430121967</v>
      </c>
      <c r="J17" s="59"/>
      <c r="K17" s="32"/>
      <c r="L17" s="32"/>
      <c r="M17" s="32"/>
      <c r="N17" s="32"/>
      <c r="O17" s="32"/>
      <c r="P17" s="32"/>
      <c r="Q17" s="32"/>
      <c r="R17" s="32"/>
      <c r="S17" s="32"/>
      <c r="T17" s="32"/>
      <c r="U17" s="32"/>
      <c r="V17" s="32"/>
    </row>
    <row r="18" spans="1:22" s="124" customFormat="1" ht="10.9" customHeight="1">
      <c r="A18" s="59"/>
      <c r="B18" s="148">
        <v>10</v>
      </c>
      <c r="C18" s="148">
        <v>10</v>
      </c>
      <c r="D18" s="149" t="s">
        <v>13</v>
      </c>
      <c r="E18" s="148">
        <f>VLOOKUP(B18,Data!$A$5:$T$85,$E$6)</f>
        <v>1128.9454926934757</v>
      </c>
      <c r="F18" s="148">
        <f t="shared" si="0"/>
        <v>1128.9455926934756</v>
      </c>
      <c r="G18" s="148">
        <f t="shared" si="1"/>
        <v>1</v>
      </c>
      <c r="H18" s="150" t="str">
        <f t="shared" si="2"/>
        <v>Central Goldfields</v>
      </c>
      <c r="I18" s="150">
        <f t="shared" si="3"/>
        <v>809.18754340228827</v>
      </c>
      <c r="J18" s="59"/>
      <c r="K18" s="32"/>
      <c r="L18" s="32"/>
      <c r="M18" s="32"/>
      <c r="N18" s="32"/>
      <c r="O18" s="32"/>
      <c r="P18" s="32"/>
      <c r="Q18" s="32"/>
      <c r="R18" s="32"/>
      <c r="S18" s="32"/>
      <c r="T18" s="32"/>
      <c r="U18" s="32"/>
      <c r="V18" s="32"/>
    </row>
    <row r="19" spans="1:22" s="124" customFormat="1" ht="10.9" customHeight="1">
      <c r="A19" s="59"/>
      <c r="B19" s="148">
        <v>12</v>
      </c>
      <c r="C19" s="148">
        <v>11</v>
      </c>
      <c r="D19" s="149" t="s">
        <v>15</v>
      </c>
      <c r="E19" s="148">
        <f>VLOOKUP(B19,Data!$A$5:$T$85,$E$6)</f>
        <v>403.06726618508884</v>
      </c>
      <c r="F19" s="148">
        <f t="shared" si="0"/>
        <v>403.06738618508882</v>
      </c>
      <c r="G19" s="148">
        <f t="shared" si="1"/>
        <v>47</v>
      </c>
      <c r="H19" s="150" t="str">
        <f t="shared" si="2"/>
        <v xml:space="preserve">East Gippsland </v>
      </c>
      <c r="I19" s="150">
        <f t="shared" si="3"/>
        <v>792.52561312732905</v>
      </c>
      <c r="J19" s="59"/>
      <c r="K19" s="32"/>
      <c r="L19" s="32"/>
      <c r="M19" s="32"/>
      <c r="N19" s="32"/>
      <c r="O19" s="32"/>
      <c r="P19" s="32"/>
      <c r="Q19" s="32"/>
      <c r="R19" s="32"/>
      <c r="S19" s="32"/>
      <c r="T19" s="32"/>
      <c r="U19" s="32"/>
      <c r="V19" s="32"/>
    </row>
    <row r="20" spans="1:22" s="124" customFormat="1" ht="10.9" customHeight="1">
      <c r="A20" s="59"/>
      <c r="B20" s="148">
        <v>13</v>
      </c>
      <c r="C20" s="148">
        <v>12</v>
      </c>
      <c r="D20" s="149" t="s">
        <v>16</v>
      </c>
      <c r="E20" s="148">
        <f>VLOOKUP(B20,Data!$A$5:$T$85,$E$6)</f>
        <v>418.11045497549628</v>
      </c>
      <c r="F20" s="148">
        <f t="shared" si="0"/>
        <v>418.11058497549629</v>
      </c>
      <c r="G20" s="148">
        <f t="shared" si="1"/>
        <v>46</v>
      </c>
      <c r="H20" s="150" t="str">
        <f t="shared" si="2"/>
        <v xml:space="preserve">Whittlesea </v>
      </c>
      <c r="I20" s="150">
        <f t="shared" si="3"/>
        <v>766.63982182053098</v>
      </c>
      <c r="J20" s="59"/>
      <c r="K20" s="32"/>
      <c r="L20" s="32"/>
      <c r="M20" s="32"/>
      <c r="N20" s="32"/>
      <c r="O20" s="32"/>
      <c r="P20" s="32"/>
      <c r="Q20" s="32"/>
      <c r="R20" s="32"/>
      <c r="S20" s="32"/>
      <c r="T20" s="32"/>
      <c r="U20" s="32"/>
      <c r="V20" s="32"/>
    </row>
    <row r="21" spans="1:22" s="124" customFormat="1" ht="10.9" customHeight="1">
      <c r="A21" s="59"/>
      <c r="B21" s="148">
        <v>14</v>
      </c>
      <c r="C21" s="148">
        <v>13</v>
      </c>
      <c r="D21" s="149" t="s">
        <v>17</v>
      </c>
      <c r="E21" s="148">
        <f>VLOOKUP(B21,Data!$A$5:$T$85,$E$6)</f>
        <v>568.48501338650385</v>
      </c>
      <c r="F21" s="148">
        <f t="shared" si="0"/>
        <v>568.48515338650384</v>
      </c>
      <c r="G21" s="148">
        <f t="shared" si="1"/>
        <v>36</v>
      </c>
      <c r="H21" s="150" t="str">
        <f t="shared" si="2"/>
        <v xml:space="preserve">Monash </v>
      </c>
      <c r="I21" s="150">
        <f t="shared" si="3"/>
        <v>753.50247973815999</v>
      </c>
      <c r="J21" s="59"/>
      <c r="K21" s="32"/>
      <c r="L21" s="32"/>
      <c r="M21" s="32"/>
      <c r="N21" s="32"/>
      <c r="O21" s="32"/>
      <c r="P21" s="32"/>
      <c r="Q21" s="32"/>
      <c r="R21" s="32"/>
      <c r="S21" s="32"/>
      <c r="T21" s="32"/>
      <c r="U21" s="32"/>
      <c r="V21" s="32"/>
    </row>
    <row r="22" spans="1:22" s="124" customFormat="1" ht="10.9" customHeight="1">
      <c r="A22" s="59"/>
      <c r="B22" s="148">
        <v>15</v>
      </c>
      <c r="C22" s="148">
        <v>14</v>
      </c>
      <c r="D22" s="149" t="s">
        <v>19</v>
      </c>
      <c r="E22" s="148">
        <f>VLOOKUP(B22,Data!$A$5:$T$85,$E$6)</f>
        <v>809.18754340228827</v>
      </c>
      <c r="F22" s="148">
        <f t="shared" si="0"/>
        <v>809.18769340228823</v>
      </c>
      <c r="G22" s="148">
        <f t="shared" si="1"/>
        <v>10</v>
      </c>
      <c r="H22" s="150" t="str">
        <f t="shared" si="2"/>
        <v xml:space="preserve">Hume </v>
      </c>
      <c r="I22" s="150">
        <f t="shared" si="3"/>
        <v>752.12867014522294</v>
      </c>
      <c r="J22" s="59"/>
      <c r="K22" s="32"/>
      <c r="L22" s="32"/>
      <c r="M22" s="32"/>
      <c r="N22" s="32"/>
      <c r="O22" s="32"/>
      <c r="P22" s="32"/>
      <c r="Q22" s="32"/>
      <c r="R22" s="32"/>
      <c r="S22" s="32"/>
      <c r="T22" s="32"/>
      <c r="U22" s="32"/>
      <c r="V22" s="32"/>
    </row>
    <row r="23" spans="1:22" s="124" customFormat="1" ht="10.9" customHeight="1">
      <c r="A23" s="59"/>
      <c r="B23" s="148">
        <v>16</v>
      </c>
      <c r="C23" s="148">
        <v>15</v>
      </c>
      <c r="D23" s="149" t="s">
        <v>18</v>
      </c>
      <c r="E23" s="148">
        <f>VLOOKUP(B23,Data!$A$5:$T$85,$E$6)</f>
        <v>455.31898899869691</v>
      </c>
      <c r="F23" s="148">
        <f t="shared" si="0"/>
        <v>455.3191489986969</v>
      </c>
      <c r="G23" s="148">
        <f t="shared" si="1"/>
        <v>42</v>
      </c>
      <c r="H23" s="150" t="str">
        <f t="shared" si="2"/>
        <v xml:space="preserve">Wellington </v>
      </c>
      <c r="I23" s="150">
        <f t="shared" si="3"/>
        <v>749.68759730231943</v>
      </c>
      <c r="J23" s="59"/>
      <c r="K23" s="32"/>
      <c r="L23" s="32"/>
      <c r="M23" s="32"/>
      <c r="N23" s="32"/>
      <c r="O23" s="32"/>
      <c r="P23" s="32"/>
      <c r="Q23" s="32"/>
      <c r="R23" s="32"/>
      <c r="S23" s="32"/>
      <c r="T23" s="32"/>
      <c r="U23" s="32"/>
      <c r="V23" s="32"/>
    </row>
    <row r="24" spans="1:22" s="124" customFormat="1" ht="10.9" customHeight="1">
      <c r="A24" s="59"/>
      <c r="B24" s="148">
        <v>17</v>
      </c>
      <c r="C24" s="148">
        <v>16</v>
      </c>
      <c r="D24" s="149" t="s">
        <v>34</v>
      </c>
      <c r="E24" s="148">
        <f>VLOOKUP(B24,Data!$A$5:$T$85,$E$6)</f>
        <v>333.21123797714802</v>
      </c>
      <c r="F24" s="148">
        <f t="shared" si="0"/>
        <v>333.21140797714804</v>
      </c>
      <c r="G24" s="148">
        <f t="shared" si="1"/>
        <v>51</v>
      </c>
      <c r="H24" s="150" t="str">
        <f t="shared" si="2"/>
        <v xml:space="preserve">Ballarat </v>
      </c>
      <c r="I24" s="150">
        <f t="shared" si="3"/>
        <v>718.87823549444192</v>
      </c>
      <c r="J24" s="59"/>
      <c r="K24" s="32"/>
      <c r="L24" s="32"/>
      <c r="M24" s="32"/>
      <c r="N24" s="32"/>
      <c r="O24" s="32"/>
      <c r="P24" s="32"/>
      <c r="Q24" s="32"/>
      <c r="R24" s="32"/>
      <c r="S24" s="32"/>
      <c r="T24" s="32"/>
      <c r="U24" s="32"/>
      <c r="V24" s="32"/>
    </row>
    <row r="25" spans="1:22" s="124" customFormat="1" ht="10.9" customHeight="1">
      <c r="A25" s="59"/>
      <c r="B25" s="148">
        <v>18</v>
      </c>
      <c r="C25" s="148">
        <v>17</v>
      </c>
      <c r="D25" s="149" t="s">
        <v>35</v>
      </c>
      <c r="E25" s="148">
        <f>VLOOKUP(B25,Data!$A$5:$T$85,$E$6)</f>
        <v>636.76071860486809</v>
      </c>
      <c r="F25" s="148">
        <f t="shared" si="0"/>
        <v>636.76089860486809</v>
      </c>
      <c r="G25" s="148">
        <f t="shared" si="1"/>
        <v>22</v>
      </c>
      <c r="H25" s="150" t="str">
        <f t="shared" si="2"/>
        <v xml:space="preserve">Ararat </v>
      </c>
      <c r="I25" s="150">
        <f t="shared" si="3"/>
        <v>712.26450923082825</v>
      </c>
      <c r="J25" s="59"/>
      <c r="K25" s="32"/>
      <c r="L25" s="32"/>
      <c r="M25" s="32"/>
      <c r="N25" s="32"/>
      <c r="O25" s="32"/>
      <c r="P25" s="32"/>
      <c r="Q25" s="32"/>
      <c r="R25" s="32"/>
      <c r="S25" s="32"/>
      <c r="T25" s="32"/>
      <c r="U25" s="32"/>
      <c r="V25" s="32"/>
    </row>
    <row r="26" spans="1:22" s="124" customFormat="1" ht="10.9" customHeight="1">
      <c r="A26" s="59"/>
      <c r="B26" s="148">
        <v>19</v>
      </c>
      <c r="C26" s="148">
        <v>18</v>
      </c>
      <c r="D26" s="149" t="s">
        <v>36</v>
      </c>
      <c r="E26" s="148">
        <f>VLOOKUP(B26,Data!$A$5:$T$85,$E$6)</f>
        <v>792.52561312732905</v>
      </c>
      <c r="F26" s="148">
        <f t="shared" si="0"/>
        <v>792.52580312732903</v>
      </c>
      <c r="G26" s="148">
        <f t="shared" si="1"/>
        <v>11</v>
      </c>
      <c r="H26" s="150" t="str">
        <f t="shared" si="2"/>
        <v xml:space="preserve">Maroondah </v>
      </c>
      <c r="I26" s="150">
        <f t="shared" si="3"/>
        <v>695.32119522042251</v>
      </c>
      <c r="J26" s="59"/>
      <c r="K26" s="32"/>
      <c r="L26" s="32"/>
      <c r="M26" s="32"/>
      <c r="N26" s="32"/>
      <c r="O26" s="32"/>
      <c r="P26" s="32"/>
      <c r="Q26" s="32"/>
      <c r="R26" s="32"/>
      <c r="S26" s="32"/>
      <c r="T26" s="32"/>
      <c r="U26" s="32"/>
      <c r="V26" s="32"/>
    </row>
    <row r="27" spans="1:22" s="124" customFormat="1" ht="10.9" customHeight="1">
      <c r="A27" s="59"/>
      <c r="B27" s="148">
        <v>20</v>
      </c>
      <c r="C27" s="148">
        <v>19</v>
      </c>
      <c r="D27" s="149" t="s">
        <v>37</v>
      </c>
      <c r="E27" s="148">
        <f>VLOOKUP(B27,Data!$A$5:$T$85,$E$6)</f>
        <v>614.49015845498627</v>
      </c>
      <c r="F27" s="148">
        <f t="shared" si="0"/>
        <v>614.49035845498622</v>
      </c>
      <c r="G27" s="148">
        <f t="shared" si="1"/>
        <v>28</v>
      </c>
      <c r="H27" s="150" t="str">
        <f t="shared" si="2"/>
        <v xml:space="preserve">Kingston </v>
      </c>
      <c r="I27" s="150">
        <f t="shared" si="3"/>
        <v>684.78407993611393</v>
      </c>
      <c r="J27" s="59"/>
      <c r="K27" s="32"/>
      <c r="L27" s="32"/>
      <c r="M27" s="32"/>
      <c r="N27" s="32"/>
      <c r="O27" s="32"/>
      <c r="P27" s="32"/>
      <c r="Q27" s="32"/>
      <c r="R27" s="32"/>
      <c r="S27" s="32"/>
      <c r="T27" s="32"/>
      <c r="U27" s="32"/>
      <c r="V27" s="32"/>
    </row>
    <row r="28" spans="1:22" s="124" customFormat="1" ht="10.9" customHeight="1">
      <c r="A28" s="59"/>
      <c r="B28" s="148">
        <v>21</v>
      </c>
      <c r="C28" s="148">
        <v>20</v>
      </c>
      <c r="D28" s="149" t="s">
        <v>38</v>
      </c>
      <c r="E28" s="148">
        <f>VLOOKUP(B28,Data!$A$5:$T$85,$E$6)</f>
        <v>284.50496240840857</v>
      </c>
      <c r="F28" s="148">
        <f t="shared" si="0"/>
        <v>284.50517240840855</v>
      </c>
      <c r="G28" s="148">
        <f t="shared" si="1"/>
        <v>56</v>
      </c>
      <c r="H28" s="150" t="str">
        <f t="shared" si="2"/>
        <v xml:space="preserve">Hobsons Bay </v>
      </c>
      <c r="I28" s="150">
        <f t="shared" si="3"/>
        <v>676.76104722981131</v>
      </c>
      <c r="J28" s="59"/>
      <c r="K28" s="32"/>
      <c r="L28" s="32"/>
      <c r="M28" s="32"/>
      <c r="N28" s="32"/>
      <c r="O28" s="32"/>
      <c r="P28" s="32"/>
      <c r="Q28" s="32"/>
      <c r="R28" s="32"/>
      <c r="S28" s="32"/>
      <c r="T28" s="32"/>
      <c r="U28" s="32"/>
      <c r="V28" s="32"/>
    </row>
    <row r="29" spans="1:22" s="124" customFormat="1" ht="10.9" customHeight="1">
      <c r="A29" s="59"/>
      <c r="B29" s="148">
        <v>22</v>
      </c>
      <c r="C29" s="148">
        <v>21</v>
      </c>
      <c r="D29" s="149" t="s">
        <v>39</v>
      </c>
      <c r="E29" s="148">
        <f>VLOOKUP(B29,Data!$A$5:$T$85,$E$6)</f>
        <v>592.31889878772154</v>
      </c>
      <c r="F29" s="148">
        <f t="shared" si="0"/>
        <v>592.31911878772155</v>
      </c>
      <c r="G29" s="148">
        <f t="shared" si="1"/>
        <v>29</v>
      </c>
      <c r="H29" s="150" t="str">
        <f t="shared" si="2"/>
        <v xml:space="preserve">Mornington Peninsula </v>
      </c>
      <c r="I29" s="150">
        <f t="shared" si="3"/>
        <v>649.30273949276614</v>
      </c>
      <c r="J29" s="59"/>
      <c r="K29" s="32"/>
      <c r="L29" s="32"/>
      <c r="M29" s="32"/>
      <c r="N29" s="32"/>
      <c r="O29" s="32"/>
      <c r="P29" s="32"/>
      <c r="Q29" s="32"/>
      <c r="R29" s="32"/>
      <c r="S29" s="32"/>
      <c r="T29" s="32"/>
      <c r="U29" s="32"/>
      <c r="V29" s="32"/>
    </row>
    <row r="30" spans="1:22" s="124" customFormat="1" ht="10.9" customHeight="1">
      <c r="A30" s="59"/>
      <c r="B30" s="148">
        <v>23</v>
      </c>
      <c r="C30" s="148">
        <v>22</v>
      </c>
      <c r="D30" s="149" t="s">
        <v>40</v>
      </c>
      <c r="E30" s="148">
        <f>VLOOKUP(B30,Data!$A$5:$T$85,$E$6)</f>
        <v>581.38326045190877</v>
      </c>
      <c r="F30" s="148">
        <f t="shared" si="0"/>
        <v>581.38349045190876</v>
      </c>
      <c r="G30" s="148">
        <f t="shared" si="1"/>
        <v>31</v>
      </c>
      <c r="H30" s="150" t="str">
        <f t="shared" si="2"/>
        <v xml:space="preserve">Darebin </v>
      </c>
      <c r="I30" s="150">
        <f t="shared" si="3"/>
        <v>636.76071860486809</v>
      </c>
      <c r="J30" s="59"/>
      <c r="K30" s="32"/>
      <c r="L30" s="32"/>
      <c r="M30" s="32"/>
      <c r="N30" s="32"/>
      <c r="O30" s="32"/>
      <c r="P30" s="32"/>
      <c r="Q30" s="32"/>
      <c r="R30" s="32"/>
      <c r="S30" s="32"/>
      <c r="T30" s="32"/>
      <c r="U30" s="32"/>
      <c r="V30" s="32"/>
    </row>
    <row r="31" spans="1:22" s="124" customFormat="1" ht="10.9" customHeight="1">
      <c r="A31" s="59"/>
      <c r="B31" s="148">
        <v>25</v>
      </c>
      <c r="C31" s="148">
        <v>23</v>
      </c>
      <c r="D31" s="149" t="s">
        <v>42</v>
      </c>
      <c r="E31" s="148">
        <f>VLOOKUP(B31,Data!$A$5:$T$85,$E$6)</f>
        <v>636.22748690977846</v>
      </c>
      <c r="F31" s="148">
        <f t="shared" si="0"/>
        <v>636.22773690977851</v>
      </c>
      <c r="G31" s="148">
        <f t="shared" si="1"/>
        <v>23</v>
      </c>
      <c r="H31" s="150" t="str">
        <f t="shared" si="2"/>
        <v xml:space="preserve">Greater Bendigo </v>
      </c>
      <c r="I31" s="150">
        <f t="shared" si="3"/>
        <v>636.22748690977846</v>
      </c>
      <c r="J31" s="59"/>
      <c r="K31" s="32"/>
      <c r="L31" s="32"/>
      <c r="M31" s="32"/>
      <c r="N31" s="32"/>
      <c r="O31" s="32"/>
      <c r="P31" s="32"/>
      <c r="Q31" s="32"/>
      <c r="R31" s="32"/>
      <c r="S31" s="32"/>
      <c r="T31" s="32"/>
      <c r="U31" s="32"/>
      <c r="V31" s="32"/>
    </row>
    <row r="32" spans="1:22" s="124" customFormat="1" ht="10.9" customHeight="1">
      <c r="A32" s="59"/>
      <c r="B32" s="148">
        <v>26</v>
      </c>
      <c r="C32" s="148">
        <v>24</v>
      </c>
      <c r="D32" s="149" t="s">
        <v>43</v>
      </c>
      <c r="E32" s="148">
        <f>VLOOKUP(B32,Data!$A$5:$T$85,$E$6)</f>
        <v>1076.5688863579437</v>
      </c>
      <c r="F32" s="148">
        <f t="shared" si="0"/>
        <v>1076.5691463579437</v>
      </c>
      <c r="G32" s="148">
        <f t="shared" si="1"/>
        <v>2</v>
      </c>
      <c r="H32" s="150" t="str">
        <f t="shared" si="2"/>
        <v xml:space="preserve">Greater Geelong </v>
      </c>
      <c r="I32" s="150">
        <f t="shared" si="3"/>
        <v>624.50562953354972</v>
      </c>
      <c r="J32" s="59"/>
      <c r="K32" s="32"/>
      <c r="L32" s="32"/>
      <c r="M32" s="32"/>
      <c r="N32" s="32"/>
      <c r="O32" s="32"/>
      <c r="P32" s="32"/>
      <c r="Q32" s="32"/>
      <c r="R32" s="32"/>
      <c r="S32" s="32"/>
      <c r="T32" s="32"/>
      <c r="U32" s="32"/>
      <c r="V32" s="32"/>
    </row>
    <row r="33" spans="1:22" s="124" customFormat="1" ht="10.9" customHeight="1">
      <c r="A33" s="59"/>
      <c r="B33" s="148">
        <v>27</v>
      </c>
      <c r="C33" s="148">
        <v>25</v>
      </c>
      <c r="D33" s="149" t="s">
        <v>44</v>
      </c>
      <c r="E33" s="148">
        <f>VLOOKUP(B33,Data!$A$5:$T$85,$E$6)</f>
        <v>624.50562953354972</v>
      </c>
      <c r="F33" s="148">
        <f t="shared" si="0"/>
        <v>624.50589953354972</v>
      </c>
      <c r="G33" s="148">
        <f t="shared" si="1"/>
        <v>24</v>
      </c>
      <c r="H33" s="150" t="str">
        <f t="shared" si="2"/>
        <v xml:space="preserve">Melton </v>
      </c>
      <c r="I33" s="150">
        <f t="shared" si="3"/>
        <v>619.62611123777231</v>
      </c>
      <c r="J33" s="59"/>
      <c r="K33" s="32"/>
      <c r="L33" s="32"/>
      <c r="M33" s="32"/>
      <c r="N33" s="32"/>
      <c r="O33" s="32"/>
      <c r="P33" s="32"/>
      <c r="Q33" s="32"/>
      <c r="R33" s="32"/>
      <c r="S33" s="32"/>
      <c r="T33" s="32"/>
      <c r="U33" s="32"/>
      <c r="V33" s="32"/>
    </row>
    <row r="34" spans="1:22" s="124" customFormat="1" ht="10.9" customHeight="1">
      <c r="A34" s="59"/>
      <c r="B34" s="148">
        <v>28</v>
      </c>
      <c r="C34" s="148">
        <v>26</v>
      </c>
      <c r="D34" s="149" t="s">
        <v>45</v>
      </c>
      <c r="E34" s="148">
        <f>VLOOKUP(B34,Data!$A$5:$T$85,$E$6)</f>
        <v>838.94918779898126</v>
      </c>
      <c r="F34" s="148">
        <f t="shared" si="0"/>
        <v>838.94946779898123</v>
      </c>
      <c r="G34" s="148">
        <f t="shared" si="1"/>
        <v>7</v>
      </c>
      <c r="H34" s="150" t="str">
        <f t="shared" si="2"/>
        <v xml:space="preserve">Knox </v>
      </c>
      <c r="I34" s="150">
        <f t="shared" si="3"/>
        <v>619.3086498926649</v>
      </c>
      <c r="J34" s="59"/>
      <c r="K34" s="32"/>
      <c r="L34" s="32"/>
      <c r="M34" s="32"/>
      <c r="N34" s="32"/>
      <c r="O34" s="32"/>
      <c r="P34" s="32"/>
      <c r="Q34" s="32"/>
      <c r="R34" s="32"/>
      <c r="S34" s="32"/>
      <c r="T34" s="32"/>
      <c r="U34" s="32"/>
      <c r="V34" s="32"/>
    </row>
    <row r="35" spans="1:22" s="124" customFormat="1" ht="10.9" customHeight="1">
      <c r="A35" s="59"/>
      <c r="B35" s="148">
        <v>29</v>
      </c>
      <c r="C35" s="148">
        <v>27</v>
      </c>
      <c r="D35" s="149" t="s">
        <v>46</v>
      </c>
      <c r="E35" s="148">
        <f>VLOOKUP(B35,Data!$A$5:$T$85,$E$6)</f>
        <v>247.19428699517297</v>
      </c>
      <c r="F35" s="148">
        <f t="shared" si="0"/>
        <v>247.19457699517298</v>
      </c>
      <c r="G35" s="148">
        <f t="shared" si="1"/>
        <v>60</v>
      </c>
      <c r="H35" s="150" t="str">
        <f t="shared" si="2"/>
        <v xml:space="preserve">Swan Hill </v>
      </c>
      <c r="I35" s="150">
        <f t="shared" si="3"/>
        <v>618.46953062005844</v>
      </c>
      <c r="J35" s="59"/>
      <c r="K35" s="32"/>
      <c r="L35" s="32"/>
      <c r="M35" s="32"/>
      <c r="N35" s="32"/>
      <c r="O35" s="32"/>
      <c r="P35" s="32"/>
      <c r="Q35" s="32"/>
      <c r="R35" s="32"/>
      <c r="S35" s="32"/>
      <c r="T35" s="32"/>
      <c r="U35" s="32"/>
      <c r="V35" s="32"/>
    </row>
    <row r="36" spans="1:22" s="124" customFormat="1" ht="10.9" customHeight="1">
      <c r="A36" s="59"/>
      <c r="B36" s="148">
        <v>31</v>
      </c>
      <c r="C36" s="148">
        <v>28</v>
      </c>
      <c r="D36" s="149" t="s">
        <v>48</v>
      </c>
      <c r="E36" s="148">
        <f>VLOOKUP(B36,Data!$A$5:$T$85,$E$6)</f>
        <v>676.76104722981131</v>
      </c>
      <c r="F36" s="148">
        <f t="shared" si="0"/>
        <v>676.76135722981132</v>
      </c>
      <c r="G36" s="148">
        <f t="shared" si="1"/>
        <v>20</v>
      </c>
      <c r="H36" s="150" t="str">
        <f t="shared" si="2"/>
        <v xml:space="preserve">Frankston </v>
      </c>
      <c r="I36" s="150">
        <f t="shared" si="3"/>
        <v>614.49015845498627</v>
      </c>
      <c r="J36" s="59"/>
      <c r="K36" s="32"/>
      <c r="L36" s="32"/>
      <c r="M36" s="32"/>
      <c r="N36" s="32"/>
      <c r="O36" s="32"/>
      <c r="P36" s="32"/>
      <c r="Q36" s="32"/>
      <c r="R36" s="32"/>
      <c r="S36" s="32"/>
      <c r="T36" s="32"/>
      <c r="U36" s="32"/>
      <c r="V36" s="32"/>
    </row>
    <row r="37" spans="1:22" s="124" customFormat="1" ht="10.9" customHeight="1">
      <c r="A37" s="59"/>
      <c r="B37" s="148">
        <v>32</v>
      </c>
      <c r="C37" s="148">
        <v>29</v>
      </c>
      <c r="D37" s="149" t="s">
        <v>49</v>
      </c>
      <c r="E37" s="148">
        <f>VLOOKUP(B37,Data!$A$5:$T$85,$E$6)</f>
        <v>843.441072808179</v>
      </c>
      <c r="F37" s="148">
        <f t="shared" si="0"/>
        <v>843.44139280817899</v>
      </c>
      <c r="G37" s="148">
        <f t="shared" si="1"/>
        <v>6</v>
      </c>
      <c r="H37" s="150" t="str">
        <f t="shared" si="2"/>
        <v xml:space="preserve">Glen Eira </v>
      </c>
      <c r="I37" s="150">
        <f t="shared" si="3"/>
        <v>592.31889878772154</v>
      </c>
      <c r="J37" s="59"/>
      <c r="K37" s="32"/>
      <c r="L37" s="32"/>
      <c r="M37" s="32"/>
      <c r="N37" s="32"/>
      <c r="O37" s="32"/>
      <c r="P37" s="32"/>
      <c r="Q37" s="32"/>
      <c r="R37" s="32"/>
      <c r="S37" s="32"/>
      <c r="T37" s="32"/>
      <c r="U37" s="32"/>
      <c r="V37" s="32"/>
    </row>
    <row r="38" spans="1:22" s="124" customFormat="1" ht="10.9" customHeight="1">
      <c r="A38" s="59"/>
      <c r="B38" s="148">
        <v>33</v>
      </c>
      <c r="C38" s="148">
        <v>30</v>
      </c>
      <c r="D38" s="149" t="s">
        <v>50</v>
      </c>
      <c r="E38" s="148">
        <f>VLOOKUP(B38,Data!$A$5:$T$85,$E$6)</f>
        <v>752.12867014522294</v>
      </c>
      <c r="F38" s="148">
        <f t="shared" si="0"/>
        <v>752.1290001452229</v>
      </c>
      <c r="G38" s="148">
        <f t="shared" si="1"/>
        <v>14</v>
      </c>
      <c r="H38" s="150" t="str">
        <f t="shared" si="2"/>
        <v xml:space="preserve">Bass Coast </v>
      </c>
      <c r="I38" s="150">
        <f t="shared" si="3"/>
        <v>588.01695073822293</v>
      </c>
      <c r="J38" s="59"/>
      <c r="K38" s="32"/>
      <c r="L38" s="32"/>
      <c r="M38" s="32"/>
      <c r="N38" s="32"/>
      <c r="O38" s="32"/>
      <c r="P38" s="32"/>
      <c r="Q38" s="32"/>
      <c r="R38" s="32"/>
      <c r="S38" s="32"/>
      <c r="T38" s="32"/>
      <c r="U38" s="32"/>
      <c r="V38" s="32"/>
    </row>
    <row r="39" spans="1:22" s="124" customFormat="1" ht="10.9" customHeight="1">
      <c r="A39" s="59"/>
      <c r="B39" s="148">
        <v>35</v>
      </c>
      <c r="C39" s="148">
        <v>31</v>
      </c>
      <c r="D39" s="149" t="s">
        <v>52</v>
      </c>
      <c r="E39" s="148">
        <f>VLOOKUP(B39,Data!$A$5:$T$85,$E$6)</f>
        <v>684.78407993611393</v>
      </c>
      <c r="F39" s="148">
        <f t="shared" si="0"/>
        <v>684.78442993611395</v>
      </c>
      <c r="G39" s="148">
        <f t="shared" si="1"/>
        <v>19</v>
      </c>
      <c r="H39" s="150" t="str">
        <f t="shared" si="2"/>
        <v xml:space="preserve">Glenelg </v>
      </c>
      <c r="I39" s="150">
        <f t="shared" si="3"/>
        <v>581.38326045190877</v>
      </c>
      <c r="J39" s="59"/>
      <c r="K39" s="32"/>
      <c r="L39" s="32"/>
      <c r="M39" s="32"/>
      <c r="N39" s="32"/>
      <c r="O39" s="32"/>
      <c r="P39" s="32"/>
      <c r="Q39" s="32"/>
      <c r="R39" s="32"/>
      <c r="S39" s="32"/>
      <c r="T39" s="32"/>
      <c r="U39" s="32"/>
      <c r="V39" s="32"/>
    </row>
    <row r="40" spans="1:22" s="124" customFormat="1" ht="10.9" customHeight="1">
      <c r="A40" s="59"/>
      <c r="B40" s="148">
        <v>36</v>
      </c>
      <c r="C40" s="148">
        <v>32</v>
      </c>
      <c r="D40" s="149" t="s">
        <v>53</v>
      </c>
      <c r="E40" s="148">
        <f>VLOOKUP(B40,Data!$A$5:$T$85,$E$6)</f>
        <v>619.3086498926649</v>
      </c>
      <c r="F40" s="148">
        <f t="shared" si="0"/>
        <v>619.3090098926649</v>
      </c>
      <c r="G40" s="148">
        <f t="shared" si="1"/>
        <v>26</v>
      </c>
      <c r="H40" s="150" t="str">
        <f t="shared" si="2"/>
        <v xml:space="preserve">Melbourne </v>
      </c>
      <c r="I40" s="150">
        <f t="shared" si="3"/>
        <v>579.00090640202382</v>
      </c>
      <c r="J40" s="59"/>
      <c r="K40" s="32"/>
      <c r="L40" s="32"/>
      <c r="M40" s="32"/>
      <c r="N40" s="32"/>
      <c r="O40" s="32"/>
      <c r="P40" s="32"/>
      <c r="Q40" s="32"/>
      <c r="R40" s="32"/>
      <c r="S40" s="32"/>
      <c r="T40" s="32"/>
      <c r="U40" s="32"/>
      <c r="V40" s="32"/>
    </row>
    <row r="41" spans="1:22" s="124" customFormat="1" ht="10.9" customHeight="1">
      <c r="A41" s="59"/>
      <c r="B41" s="148">
        <v>37</v>
      </c>
      <c r="C41" s="148">
        <v>33</v>
      </c>
      <c r="D41" s="149" t="s">
        <v>54</v>
      </c>
      <c r="E41" s="148">
        <f>VLOOKUP(B41,Data!$A$5:$T$85,$E$6)</f>
        <v>821.45347430121967</v>
      </c>
      <c r="F41" s="148">
        <f t="shared" si="0"/>
        <v>821.45384430121965</v>
      </c>
      <c r="G41" s="148">
        <f t="shared" ref="G41:G72" si="4">RANK(F41,F$9:F$78)</f>
        <v>9</v>
      </c>
      <c r="H41" s="150" t="str">
        <f t="shared" ref="H41:H72" si="5">VLOOKUP(MATCH(C41,G$9:G$78,0),$C$9:$G$78,2)</f>
        <v xml:space="preserve">Mitchell </v>
      </c>
      <c r="I41" s="150">
        <f t="shared" ref="I41:I72" si="6">VLOOKUP(MATCH(C41,G$9:G$78,0),$C$9:$G$78,3)</f>
        <v>575.27958589207185</v>
      </c>
      <c r="J41" s="59"/>
      <c r="K41" s="32"/>
      <c r="L41" s="32"/>
      <c r="M41" s="32"/>
      <c r="N41" s="32"/>
      <c r="O41" s="32"/>
      <c r="P41" s="32"/>
      <c r="Q41" s="32"/>
      <c r="R41" s="32"/>
      <c r="S41" s="32"/>
      <c r="T41" s="32"/>
      <c r="U41" s="32"/>
      <c r="V41" s="32"/>
    </row>
    <row r="42" spans="1:22" s="124" customFormat="1" ht="10.9" customHeight="1">
      <c r="A42" s="59"/>
      <c r="B42" s="148">
        <v>39</v>
      </c>
      <c r="C42" s="148">
        <v>34</v>
      </c>
      <c r="D42" s="149" t="s">
        <v>56</v>
      </c>
      <c r="E42" s="148">
        <f>VLOOKUP(B42,Data!$A$5:$T$85,$E$6)</f>
        <v>242.84308025419568</v>
      </c>
      <c r="F42" s="148">
        <f t="shared" si="0"/>
        <v>242.84347025419569</v>
      </c>
      <c r="G42" s="148">
        <f t="shared" si="4"/>
        <v>61</v>
      </c>
      <c r="H42" s="150" t="str">
        <f t="shared" si="5"/>
        <v xml:space="preserve">Banyule </v>
      </c>
      <c r="I42" s="150">
        <f t="shared" si="6"/>
        <v>574.77878949815363</v>
      </c>
      <c r="J42" s="59"/>
      <c r="K42" s="32"/>
      <c r="L42" s="32"/>
      <c r="M42" s="32"/>
      <c r="N42" s="32"/>
      <c r="O42" s="32"/>
      <c r="P42" s="32"/>
      <c r="Q42" s="32"/>
      <c r="R42" s="32"/>
      <c r="S42" s="32"/>
      <c r="T42" s="32"/>
      <c r="U42" s="32"/>
      <c r="V42" s="32"/>
    </row>
    <row r="43" spans="1:22" s="124" customFormat="1" ht="10.9" customHeight="1">
      <c r="A43" s="59"/>
      <c r="B43" s="148">
        <v>40</v>
      </c>
      <c r="C43" s="148">
        <v>35</v>
      </c>
      <c r="D43" s="149" t="s">
        <v>57</v>
      </c>
      <c r="E43" s="148">
        <f>VLOOKUP(B43,Data!$A$5:$T$85,$E$6)</f>
        <v>568.70513079250634</v>
      </c>
      <c r="F43" s="148">
        <f t="shared" si="0"/>
        <v>568.70553079250635</v>
      </c>
      <c r="G43" s="148">
        <f t="shared" si="4"/>
        <v>35</v>
      </c>
      <c r="H43" s="150" t="str">
        <f t="shared" si="5"/>
        <v xml:space="preserve">Manningham </v>
      </c>
      <c r="I43" s="150">
        <f t="shared" si="6"/>
        <v>568.70513079250634</v>
      </c>
      <c r="J43" s="59"/>
      <c r="K43" s="32"/>
      <c r="L43" s="32"/>
      <c r="M43" s="32"/>
      <c r="N43" s="32"/>
      <c r="O43" s="32"/>
      <c r="P43" s="32"/>
      <c r="Q43" s="32"/>
      <c r="R43" s="32"/>
      <c r="S43" s="32"/>
      <c r="T43" s="32"/>
      <c r="U43" s="32"/>
      <c r="V43" s="32"/>
    </row>
    <row r="44" spans="1:22" s="124" customFormat="1" ht="10.9" customHeight="1">
      <c r="A44" s="59"/>
      <c r="B44" s="148">
        <v>41</v>
      </c>
      <c r="C44" s="148">
        <v>36</v>
      </c>
      <c r="D44" s="149" t="s">
        <v>58</v>
      </c>
      <c r="E44" s="148">
        <f>VLOOKUP(B44,Data!$A$5:$T$85,$E$6)</f>
        <v>228.19634604775285</v>
      </c>
      <c r="F44" s="148">
        <f t="shared" si="0"/>
        <v>228.19675604775284</v>
      </c>
      <c r="G44" s="148">
        <f t="shared" si="4"/>
        <v>62</v>
      </c>
      <c r="H44" s="150" t="str">
        <f t="shared" si="5"/>
        <v xml:space="preserve">Casey </v>
      </c>
      <c r="I44" s="150">
        <f t="shared" si="6"/>
        <v>568.48501338650385</v>
      </c>
      <c r="J44" s="59"/>
      <c r="K44" s="32"/>
      <c r="L44" s="32"/>
      <c r="M44" s="32"/>
      <c r="N44" s="32"/>
      <c r="O44" s="32"/>
      <c r="P44" s="32"/>
      <c r="Q44" s="32"/>
      <c r="R44" s="32"/>
      <c r="S44" s="32"/>
      <c r="T44" s="32"/>
      <c r="U44" s="32"/>
      <c r="V44" s="32"/>
    </row>
    <row r="45" spans="1:22" s="124" customFormat="1" ht="10.9" customHeight="1">
      <c r="A45" s="59"/>
      <c r="B45" s="148">
        <v>42</v>
      </c>
      <c r="C45" s="148">
        <v>37</v>
      </c>
      <c r="D45" s="149" t="s">
        <v>59</v>
      </c>
      <c r="E45" s="148">
        <f>VLOOKUP(B45,Data!$A$5:$T$85,$E$6)</f>
        <v>887.76163931656674</v>
      </c>
      <c r="F45" s="148">
        <f t="shared" si="0"/>
        <v>887.76205931656671</v>
      </c>
      <c r="G45" s="148">
        <f t="shared" si="4"/>
        <v>4</v>
      </c>
      <c r="H45" s="150" t="str">
        <f t="shared" si="5"/>
        <v xml:space="preserve">Wyndham </v>
      </c>
      <c r="I45" s="150">
        <f t="shared" si="6"/>
        <v>561.19989554325832</v>
      </c>
      <c r="J45" s="59"/>
      <c r="K45" s="32"/>
      <c r="L45" s="32"/>
      <c r="M45" s="32"/>
      <c r="N45" s="32"/>
      <c r="O45" s="32"/>
      <c r="P45" s="32"/>
      <c r="Q45" s="32"/>
      <c r="R45" s="32"/>
      <c r="S45" s="32"/>
      <c r="T45" s="32"/>
      <c r="U45" s="32"/>
      <c r="V45" s="32"/>
    </row>
    <row r="46" spans="1:22" s="124" customFormat="1" ht="10.9" customHeight="1">
      <c r="A46" s="59"/>
      <c r="B46" s="148">
        <v>43</v>
      </c>
      <c r="C46" s="148">
        <v>38</v>
      </c>
      <c r="D46" s="149" t="s">
        <v>60</v>
      </c>
      <c r="E46" s="148">
        <f>VLOOKUP(B46,Data!$A$5:$T$85,$E$6)</f>
        <v>695.32119522042251</v>
      </c>
      <c r="F46" s="148">
        <f t="shared" si="0"/>
        <v>695.32162522042256</v>
      </c>
      <c r="G46" s="148">
        <f t="shared" si="4"/>
        <v>18</v>
      </c>
      <c r="H46" s="150" t="str">
        <f t="shared" si="5"/>
        <v xml:space="preserve">Benalla </v>
      </c>
      <c r="I46" s="150">
        <f t="shared" si="6"/>
        <v>549.87980179782323</v>
      </c>
      <c r="J46" s="59"/>
      <c r="K46" s="32"/>
      <c r="L46" s="32"/>
      <c r="M46" s="32"/>
      <c r="N46" s="32"/>
      <c r="O46" s="32"/>
      <c r="P46" s="32"/>
      <c r="Q46" s="32"/>
      <c r="R46" s="32"/>
      <c r="S46" s="32"/>
      <c r="T46" s="32"/>
      <c r="U46" s="32"/>
      <c r="V46" s="32"/>
    </row>
    <row r="47" spans="1:22" s="124" customFormat="1" ht="10.9" customHeight="1">
      <c r="A47" s="59"/>
      <c r="B47" s="148">
        <v>44</v>
      </c>
      <c r="C47" s="148">
        <v>39</v>
      </c>
      <c r="D47" s="149" t="s">
        <v>61</v>
      </c>
      <c r="E47" s="148">
        <f>VLOOKUP(B47,Data!$A$5:$T$85,$E$6)</f>
        <v>579.00090640202382</v>
      </c>
      <c r="F47" s="148">
        <f t="shared" si="0"/>
        <v>579.00134640202384</v>
      </c>
      <c r="G47" s="148">
        <f t="shared" si="4"/>
        <v>32</v>
      </c>
      <c r="H47" s="150" t="str">
        <f t="shared" si="5"/>
        <v xml:space="preserve">Southern Grampians </v>
      </c>
      <c r="I47" s="150">
        <f t="shared" si="6"/>
        <v>549.05446472890696</v>
      </c>
      <c r="J47" s="59"/>
      <c r="K47" s="32"/>
      <c r="L47" s="32"/>
      <c r="M47" s="32"/>
      <c r="N47" s="32"/>
      <c r="O47" s="32"/>
      <c r="P47" s="32"/>
      <c r="Q47" s="32"/>
      <c r="R47" s="32"/>
      <c r="S47" s="32"/>
      <c r="T47" s="32"/>
      <c r="U47" s="32"/>
      <c r="V47" s="32"/>
    </row>
    <row r="48" spans="1:22" s="124" customFormat="1" ht="10.9" customHeight="1">
      <c r="A48" s="59"/>
      <c r="B48" s="148">
        <v>45</v>
      </c>
      <c r="C48" s="148">
        <v>40</v>
      </c>
      <c r="D48" s="149" t="s">
        <v>62</v>
      </c>
      <c r="E48" s="148">
        <f>VLOOKUP(B48,Data!$A$5:$T$85,$E$6)</f>
        <v>619.62611123777231</v>
      </c>
      <c r="F48" s="148">
        <f t="shared" si="0"/>
        <v>619.62656123777231</v>
      </c>
      <c r="G48" s="148">
        <f t="shared" si="4"/>
        <v>25</v>
      </c>
      <c r="H48" s="150" t="str">
        <f t="shared" si="5"/>
        <v xml:space="preserve">Wangaratta </v>
      </c>
      <c r="I48" s="150">
        <f t="shared" si="6"/>
        <v>464.29999119285435</v>
      </c>
      <c r="J48" s="59"/>
      <c r="K48" s="32"/>
      <c r="L48" s="32"/>
      <c r="M48" s="32"/>
      <c r="N48" s="32"/>
      <c r="O48" s="32"/>
      <c r="P48" s="32"/>
      <c r="Q48" s="32"/>
      <c r="R48" s="32"/>
      <c r="S48" s="32"/>
      <c r="T48" s="32"/>
      <c r="U48" s="32"/>
      <c r="V48" s="32"/>
    </row>
    <row r="49" spans="1:22" s="124" customFormat="1" ht="10.9" customHeight="1">
      <c r="A49" s="59"/>
      <c r="B49" s="148">
        <v>46</v>
      </c>
      <c r="C49" s="148">
        <v>41</v>
      </c>
      <c r="D49" s="149" t="s">
        <v>63</v>
      </c>
      <c r="E49" s="148">
        <f>VLOOKUP(B49,Data!$A$5:$T$85,$E$6)</f>
        <v>920.86196953277761</v>
      </c>
      <c r="F49" s="148">
        <f t="shared" si="0"/>
        <v>920.86242953277758</v>
      </c>
      <c r="G49" s="148">
        <f t="shared" si="4"/>
        <v>3</v>
      </c>
      <c r="H49" s="150" t="str">
        <f t="shared" si="5"/>
        <v xml:space="preserve">Baw Baw </v>
      </c>
      <c r="I49" s="150">
        <f t="shared" si="6"/>
        <v>461.33089104497725</v>
      </c>
      <c r="J49" s="59"/>
      <c r="K49" s="32"/>
      <c r="L49" s="32"/>
      <c r="M49" s="32"/>
      <c r="N49" s="32"/>
      <c r="O49" s="32"/>
      <c r="P49" s="32"/>
      <c r="Q49" s="32"/>
      <c r="R49" s="32"/>
      <c r="S49" s="32"/>
      <c r="T49" s="32"/>
      <c r="U49" s="32"/>
      <c r="V49" s="32"/>
    </row>
    <row r="50" spans="1:22" s="124" customFormat="1" ht="10.9" customHeight="1">
      <c r="A50" s="59"/>
      <c r="B50" s="148">
        <v>47</v>
      </c>
      <c r="C50" s="148">
        <v>42</v>
      </c>
      <c r="D50" s="149" t="s">
        <v>64</v>
      </c>
      <c r="E50" s="148">
        <f>VLOOKUP(B50,Data!$A$5:$T$85,$E$6)</f>
        <v>575.27958589207185</v>
      </c>
      <c r="F50" s="148">
        <f t="shared" si="0"/>
        <v>575.2800558920718</v>
      </c>
      <c r="G50" s="148">
        <f t="shared" si="4"/>
        <v>33</v>
      </c>
      <c r="H50" s="150" t="str">
        <f t="shared" si="5"/>
        <v xml:space="preserve">Colac-Otway </v>
      </c>
      <c r="I50" s="150">
        <f t="shared" si="6"/>
        <v>455.31898899869691</v>
      </c>
      <c r="J50" s="59"/>
      <c r="K50" s="32"/>
      <c r="L50" s="32"/>
      <c r="M50" s="32"/>
      <c r="N50" s="32"/>
      <c r="O50" s="32"/>
      <c r="P50" s="32"/>
      <c r="Q50" s="32"/>
      <c r="R50" s="32"/>
      <c r="S50" s="32"/>
      <c r="T50" s="32"/>
      <c r="U50" s="32"/>
      <c r="V50" s="32"/>
    </row>
    <row r="51" spans="1:22" s="124" customFormat="1" ht="10.9" customHeight="1">
      <c r="A51" s="59"/>
      <c r="B51" s="148">
        <v>48</v>
      </c>
      <c r="C51" s="148">
        <v>43</v>
      </c>
      <c r="D51" s="149" t="s">
        <v>65</v>
      </c>
      <c r="E51" s="148">
        <f>VLOOKUP(B51,Data!$A$5:$T$85,$E$6)</f>
        <v>260.76022067441886</v>
      </c>
      <c r="F51" s="148">
        <f t="shared" si="0"/>
        <v>260.76070067441884</v>
      </c>
      <c r="G51" s="148">
        <f t="shared" si="4"/>
        <v>58</v>
      </c>
      <c r="H51" s="150" t="str">
        <f t="shared" si="5"/>
        <v xml:space="preserve">Northern Grampians </v>
      </c>
      <c r="I51" s="150">
        <f t="shared" si="6"/>
        <v>437.90447109905227</v>
      </c>
      <c r="J51" s="59"/>
      <c r="K51" s="32"/>
      <c r="L51" s="32"/>
      <c r="M51" s="32"/>
      <c r="N51" s="32"/>
      <c r="O51" s="32"/>
      <c r="P51" s="32"/>
      <c r="Q51" s="32"/>
      <c r="R51" s="32"/>
      <c r="S51" s="32"/>
      <c r="T51" s="32"/>
      <c r="U51" s="32"/>
      <c r="V51" s="32"/>
    </row>
    <row r="52" spans="1:22" s="124" customFormat="1" ht="10.9" customHeight="1">
      <c r="A52" s="59"/>
      <c r="B52" s="148">
        <v>49</v>
      </c>
      <c r="C52" s="148">
        <v>44</v>
      </c>
      <c r="D52" s="149" t="s">
        <v>66</v>
      </c>
      <c r="E52" s="148">
        <f>VLOOKUP(B52,Data!$A$5:$T$85,$E$6)</f>
        <v>753.50247973815999</v>
      </c>
      <c r="F52" s="148">
        <f t="shared" si="0"/>
        <v>753.50296973816</v>
      </c>
      <c r="G52" s="148">
        <f t="shared" si="4"/>
        <v>13</v>
      </c>
      <c r="H52" s="150" t="str">
        <f t="shared" si="5"/>
        <v xml:space="preserve">Whitehorse </v>
      </c>
      <c r="I52" s="150">
        <f t="shared" si="6"/>
        <v>430.34077861761489</v>
      </c>
      <c r="J52" s="59"/>
      <c r="K52" s="32"/>
      <c r="L52" s="32"/>
      <c r="M52" s="32"/>
      <c r="N52" s="32"/>
      <c r="O52" s="32"/>
      <c r="P52" s="32"/>
      <c r="Q52" s="32"/>
      <c r="R52" s="32"/>
      <c r="S52" s="32"/>
      <c r="T52" s="32"/>
      <c r="U52" s="32"/>
      <c r="V52" s="32"/>
    </row>
    <row r="53" spans="1:22" s="124" customFormat="1" ht="10.9" customHeight="1">
      <c r="A53" s="59"/>
      <c r="B53" s="148">
        <v>50</v>
      </c>
      <c r="C53" s="148">
        <v>45</v>
      </c>
      <c r="D53" s="149" t="s">
        <v>67</v>
      </c>
      <c r="E53" s="148">
        <f>VLOOKUP(B53,Data!$A$5:$T$85,$E$6)</f>
        <v>834.14154070514383</v>
      </c>
      <c r="F53" s="148">
        <f t="shared" si="0"/>
        <v>834.14204070514381</v>
      </c>
      <c r="G53" s="148">
        <f t="shared" si="4"/>
        <v>8</v>
      </c>
      <c r="H53" s="150" t="str">
        <f t="shared" si="5"/>
        <v xml:space="preserve">Moreland </v>
      </c>
      <c r="I53" s="150">
        <f t="shared" si="6"/>
        <v>424.01701892648055</v>
      </c>
      <c r="J53" s="59"/>
      <c r="K53" s="32"/>
      <c r="L53" s="32"/>
      <c r="M53" s="32"/>
      <c r="N53" s="32"/>
      <c r="O53" s="32"/>
      <c r="P53" s="32"/>
      <c r="Q53" s="32"/>
      <c r="R53" s="32"/>
      <c r="S53" s="32"/>
      <c r="T53" s="32"/>
      <c r="U53" s="32"/>
      <c r="V53" s="32"/>
    </row>
    <row r="54" spans="1:22" s="124" customFormat="1" ht="10.9" customHeight="1">
      <c r="A54" s="59"/>
      <c r="B54" s="148">
        <v>51</v>
      </c>
      <c r="C54" s="148">
        <v>46</v>
      </c>
      <c r="D54" s="149" t="s">
        <v>68</v>
      </c>
      <c r="E54" s="148">
        <f>VLOOKUP(B54,Data!$A$5:$T$85,$E$6)</f>
        <v>376.29909453532463</v>
      </c>
      <c r="F54" s="148">
        <f t="shared" si="0"/>
        <v>376.29960453532465</v>
      </c>
      <c r="G54" s="148">
        <f t="shared" si="4"/>
        <v>49</v>
      </c>
      <c r="H54" s="150" t="str">
        <f t="shared" si="5"/>
        <v xml:space="preserve">Cardinia </v>
      </c>
      <c r="I54" s="150">
        <f t="shared" si="6"/>
        <v>418.11045497549628</v>
      </c>
      <c r="J54" s="59"/>
      <c r="K54" s="32"/>
      <c r="L54" s="32"/>
      <c r="M54" s="32"/>
      <c r="N54" s="32"/>
      <c r="O54" s="32"/>
      <c r="P54" s="32"/>
      <c r="Q54" s="32"/>
      <c r="R54" s="32"/>
      <c r="S54" s="32"/>
      <c r="T54" s="32"/>
      <c r="U54" s="32"/>
      <c r="V54" s="32"/>
    </row>
    <row r="55" spans="1:22" s="124" customFormat="1" ht="10.9" customHeight="1">
      <c r="A55" s="59"/>
      <c r="B55" s="148">
        <v>52</v>
      </c>
      <c r="C55" s="148">
        <v>47</v>
      </c>
      <c r="D55" s="149" t="s">
        <v>69</v>
      </c>
      <c r="E55" s="148">
        <f>VLOOKUP(B55,Data!$A$5:$T$85,$E$6)</f>
        <v>424.01701892648055</v>
      </c>
      <c r="F55" s="148">
        <f t="shared" si="0"/>
        <v>424.01753892648054</v>
      </c>
      <c r="G55" s="148">
        <f t="shared" si="4"/>
        <v>45</v>
      </c>
      <c r="H55" s="150" t="str">
        <f t="shared" si="5"/>
        <v xml:space="preserve">Campaspe </v>
      </c>
      <c r="I55" s="150">
        <f t="shared" si="6"/>
        <v>403.06726618508884</v>
      </c>
      <c r="J55" s="59"/>
      <c r="K55" s="32"/>
      <c r="L55" s="32"/>
      <c r="M55" s="32"/>
      <c r="N55" s="32"/>
      <c r="O55" s="32"/>
      <c r="P55" s="32"/>
      <c r="Q55" s="32"/>
      <c r="R55" s="32"/>
      <c r="S55" s="32"/>
      <c r="T55" s="32"/>
      <c r="U55" s="32"/>
      <c r="V55" s="32"/>
    </row>
    <row r="56" spans="1:22" s="124" customFormat="1" ht="10.9" customHeight="1">
      <c r="A56" s="59"/>
      <c r="B56" s="148">
        <v>53</v>
      </c>
      <c r="C56" s="148">
        <v>48</v>
      </c>
      <c r="D56" s="149" t="s">
        <v>70</v>
      </c>
      <c r="E56" s="148">
        <f>VLOOKUP(B56,Data!$A$5:$T$85,$E$6)</f>
        <v>649.30273949276614</v>
      </c>
      <c r="F56" s="148">
        <f t="shared" si="0"/>
        <v>649.30326949276616</v>
      </c>
      <c r="G56" s="148">
        <f t="shared" si="4"/>
        <v>21</v>
      </c>
      <c r="H56" s="150" t="str">
        <f t="shared" si="5"/>
        <v>Queenscliffe</v>
      </c>
      <c r="I56" s="150">
        <f t="shared" si="6"/>
        <v>387.37889292870278</v>
      </c>
      <c r="J56" s="59"/>
      <c r="K56" s="32"/>
      <c r="L56" s="32"/>
      <c r="M56" s="32"/>
      <c r="N56" s="32"/>
      <c r="O56" s="32"/>
      <c r="P56" s="32"/>
      <c r="Q56" s="32"/>
      <c r="R56" s="32"/>
      <c r="S56" s="32"/>
      <c r="T56" s="32"/>
      <c r="U56" s="32"/>
      <c r="V56" s="32"/>
    </row>
    <row r="57" spans="1:22" s="124" customFormat="1" ht="10.9" customHeight="1">
      <c r="A57" s="59"/>
      <c r="B57" s="148">
        <v>54</v>
      </c>
      <c r="C57" s="148">
        <v>49</v>
      </c>
      <c r="D57" s="149" t="s">
        <v>71</v>
      </c>
      <c r="E57" s="148">
        <f>VLOOKUP(B57,Data!$A$5:$T$85,$E$6)</f>
        <v>184.21735247819723</v>
      </c>
      <c r="F57" s="148">
        <f t="shared" si="0"/>
        <v>184.21789247819723</v>
      </c>
      <c r="G57" s="148">
        <f t="shared" si="4"/>
        <v>65</v>
      </c>
      <c r="H57" s="150" t="str">
        <f t="shared" si="5"/>
        <v xml:space="preserve">Moorabool </v>
      </c>
      <c r="I57" s="150">
        <f t="shared" si="6"/>
        <v>376.29909453532463</v>
      </c>
      <c r="J57" s="59"/>
      <c r="K57" s="32"/>
      <c r="L57" s="32"/>
      <c r="M57" s="32"/>
      <c r="N57" s="32"/>
      <c r="O57" s="32"/>
      <c r="P57" s="32"/>
      <c r="Q57" s="32"/>
      <c r="R57" s="32"/>
      <c r="S57" s="32"/>
      <c r="T57" s="32"/>
      <c r="U57" s="32"/>
      <c r="V57" s="32"/>
    </row>
    <row r="58" spans="1:22" s="124" customFormat="1" ht="10.9" customHeight="1">
      <c r="A58" s="59"/>
      <c r="B58" s="148">
        <v>56</v>
      </c>
      <c r="C58" s="148">
        <v>50</v>
      </c>
      <c r="D58" s="149" t="s">
        <v>73</v>
      </c>
      <c r="E58" s="148">
        <f>VLOOKUP(B58,Data!$A$5:$T$85,$E$6)</f>
        <v>136.43424040068504</v>
      </c>
      <c r="F58" s="148">
        <f t="shared" si="0"/>
        <v>136.43480040068505</v>
      </c>
      <c r="G58" s="148">
        <f t="shared" si="4"/>
        <v>69</v>
      </c>
      <c r="H58" s="150" t="str">
        <f t="shared" si="5"/>
        <v xml:space="preserve">Yarra </v>
      </c>
      <c r="I58" s="150">
        <f t="shared" si="6"/>
        <v>358.69311007607365</v>
      </c>
      <c r="J58" s="59"/>
      <c r="K58" s="32"/>
      <c r="L58" s="32"/>
      <c r="M58" s="32"/>
      <c r="N58" s="32"/>
      <c r="O58" s="32"/>
      <c r="P58" s="32"/>
      <c r="Q58" s="32"/>
      <c r="R58" s="32"/>
      <c r="S58" s="32"/>
      <c r="T58" s="32"/>
      <c r="U58" s="32"/>
      <c r="V58" s="32"/>
    </row>
    <row r="59" spans="1:22" s="124" customFormat="1" ht="10.9" customHeight="1">
      <c r="A59" s="59"/>
      <c r="B59" s="148">
        <v>57</v>
      </c>
      <c r="C59" s="148">
        <v>51</v>
      </c>
      <c r="D59" s="149" t="s">
        <v>74</v>
      </c>
      <c r="E59" s="148">
        <f>VLOOKUP(B59,Data!$A$5:$T$85,$E$6)</f>
        <v>207.57044214289027</v>
      </c>
      <c r="F59" s="148">
        <f t="shared" si="0"/>
        <v>207.57101214289028</v>
      </c>
      <c r="G59" s="148">
        <f t="shared" si="4"/>
        <v>63</v>
      </c>
      <c r="H59" s="150" t="str">
        <f t="shared" si="5"/>
        <v xml:space="preserve">Corangamite </v>
      </c>
      <c r="I59" s="150">
        <f t="shared" si="6"/>
        <v>333.21123797714802</v>
      </c>
      <c r="J59" s="59"/>
      <c r="K59" s="32"/>
      <c r="L59" s="32"/>
      <c r="M59" s="32"/>
      <c r="N59" s="32"/>
      <c r="O59" s="32"/>
      <c r="P59" s="32"/>
      <c r="Q59" s="32"/>
      <c r="R59" s="32"/>
      <c r="S59" s="32"/>
      <c r="T59" s="32"/>
      <c r="U59" s="32"/>
      <c r="V59" s="32"/>
    </row>
    <row r="60" spans="1:22" s="124" customFormat="1" ht="10.9" customHeight="1">
      <c r="A60" s="59"/>
      <c r="B60" s="148">
        <v>58</v>
      </c>
      <c r="C60" s="148">
        <v>52</v>
      </c>
      <c r="D60" s="149" t="s">
        <v>75</v>
      </c>
      <c r="E60" s="148">
        <f>VLOOKUP(B60,Data!$A$5:$T$85,$E$6)</f>
        <v>437.90447109905227</v>
      </c>
      <c r="F60" s="148">
        <f t="shared" si="0"/>
        <v>437.90505109905229</v>
      </c>
      <c r="G60" s="148">
        <f t="shared" si="4"/>
        <v>43</v>
      </c>
      <c r="H60" s="150" t="str">
        <f t="shared" si="5"/>
        <v xml:space="preserve">Wodonga </v>
      </c>
      <c r="I60" s="150">
        <f t="shared" si="6"/>
        <v>332.68154583655587</v>
      </c>
      <c r="J60" s="59"/>
      <c r="K60" s="32"/>
      <c r="L60" s="32"/>
      <c r="M60" s="32"/>
      <c r="N60" s="32"/>
      <c r="O60" s="32"/>
      <c r="P60" s="32"/>
      <c r="Q60" s="32"/>
      <c r="R60" s="32"/>
      <c r="S60" s="32"/>
      <c r="T60" s="32"/>
      <c r="U60" s="32"/>
      <c r="V60" s="32"/>
    </row>
    <row r="61" spans="1:22" s="124" customFormat="1" ht="10.9" customHeight="1">
      <c r="A61" s="59"/>
      <c r="B61" s="148">
        <v>59</v>
      </c>
      <c r="C61" s="148">
        <v>53</v>
      </c>
      <c r="D61" s="149" t="s">
        <v>76</v>
      </c>
      <c r="E61" s="148">
        <f>VLOOKUP(B61,Data!$A$5:$T$85,$E$6)</f>
        <v>311.98158907213826</v>
      </c>
      <c r="F61" s="148">
        <f t="shared" si="0"/>
        <v>311.98217907213825</v>
      </c>
      <c r="G61" s="148">
        <f t="shared" si="4"/>
        <v>53</v>
      </c>
      <c r="H61" s="150" t="str">
        <f t="shared" si="5"/>
        <v xml:space="preserve">Port Phillip </v>
      </c>
      <c r="I61" s="150">
        <f t="shared" si="6"/>
        <v>311.98158907213826</v>
      </c>
      <c r="J61" s="59"/>
      <c r="K61" s="32"/>
      <c r="L61" s="32"/>
      <c r="M61" s="32"/>
      <c r="N61" s="32"/>
      <c r="O61" s="32"/>
      <c r="P61" s="32"/>
      <c r="Q61" s="32"/>
      <c r="R61" s="32"/>
      <c r="S61" s="32"/>
      <c r="T61" s="32"/>
      <c r="U61" s="32"/>
      <c r="V61" s="32"/>
    </row>
    <row r="62" spans="1:22" s="124" customFormat="1" ht="10.9" customHeight="1">
      <c r="A62" s="59"/>
      <c r="B62" s="148">
        <v>61</v>
      </c>
      <c r="C62" s="148">
        <v>54</v>
      </c>
      <c r="D62" s="149" t="s">
        <v>27</v>
      </c>
      <c r="E62" s="148">
        <f>VLOOKUP(B62,Data!$A$5:$T$85,$E$6)</f>
        <v>387.37889292870278</v>
      </c>
      <c r="F62" s="148">
        <f t="shared" si="0"/>
        <v>387.37950292870278</v>
      </c>
      <c r="G62" s="148">
        <f t="shared" si="4"/>
        <v>48</v>
      </c>
      <c r="H62" s="150" t="str">
        <f t="shared" si="5"/>
        <v xml:space="preserve">South Gippsland </v>
      </c>
      <c r="I62" s="150">
        <f t="shared" si="6"/>
        <v>308.99395561701527</v>
      </c>
      <c r="J62" s="59"/>
      <c r="K62" s="32"/>
      <c r="L62" s="32"/>
      <c r="M62" s="32"/>
      <c r="N62" s="32"/>
      <c r="O62" s="32"/>
      <c r="P62" s="32"/>
      <c r="Q62" s="32"/>
      <c r="R62" s="32"/>
      <c r="S62" s="32"/>
      <c r="T62" s="32"/>
      <c r="U62" s="32"/>
      <c r="V62" s="32"/>
    </row>
    <row r="63" spans="1:22" s="124" customFormat="1" ht="10.9" customHeight="1">
      <c r="A63" s="59"/>
      <c r="B63" s="148">
        <v>62</v>
      </c>
      <c r="C63" s="148">
        <v>55</v>
      </c>
      <c r="D63" s="149" t="s">
        <v>79</v>
      </c>
      <c r="E63" s="148">
        <f>VLOOKUP(B63,Data!$A$5:$T$85,$E$6)</f>
        <v>308.99395561701527</v>
      </c>
      <c r="F63" s="148">
        <f t="shared" ref="F63:F78" si="7">E63+0.00001*B63</f>
        <v>308.9945756170153</v>
      </c>
      <c r="G63" s="148">
        <f t="shared" si="4"/>
        <v>54</v>
      </c>
      <c r="H63" s="150" t="str">
        <f t="shared" si="5"/>
        <v xml:space="preserve">Alpine </v>
      </c>
      <c r="I63" s="150">
        <f t="shared" si="6"/>
        <v>287.56808854309594</v>
      </c>
      <c r="J63" s="59"/>
      <c r="K63" s="32"/>
      <c r="L63" s="32"/>
      <c r="M63" s="32"/>
      <c r="N63" s="32"/>
      <c r="O63" s="32"/>
      <c r="P63" s="32"/>
      <c r="Q63" s="32"/>
      <c r="R63" s="32"/>
      <c r="S63" s="32"/>
      <c r="T63" s="32"/>
      <c r="U63" s="32"/>
      <c r="V63" s="32"/>
    </row>
    <row r="64" spans="1:22" s="124" customFormat="1" ht="10.9" customHeight="1">
      <c r="A64" s="59"/>
      <c r="B64" s="148">
        <v>63</v>
      </c>
      <c r="C64" s="148">
        <v>56</v>
      </c>
      <c r="D64" s="149" t="s">
        <v>80</v>
      </c>
      <c r="E64" s="148">
        <f>VLOOKUP(B64,Data!$A$5:$T$85,$E$6)</f>
        <v>549.05446472890696</v>
      </c>
      <c r="F64" s="148">
        <f t="shared" si="7"/>
        <v>549.05509472890697</v>
      </c>
      <c r="G64" s="148">
        <f t="shared" si="4"/>
        <v>39</v>
      </c>
      <c r="H64" s="150" t="str">
        <f t="shared" si="5"/>
        <v xml:space="preserve">Gannawarra </v>
      </c>
      <c r="I64" s="150">
        <f t="shared" si="6"/>
        <v>284.50496240840857</v>
      </c>
      <c r="J64" s="59"/>
      <c r="K64" s="32"/>
      <c r="L64" s="32"/>
      <c r="M64" s="32"/>
      <c r="N64" s="32"/>
      <c r="O64" s="32"/>
      <c r="P64" s="32"/>
      <c r="Q64" s="32"/>
      <c r="R64" s="32"/>
      <c r="S64" s="32"/>
      <c r="T64" s="32"/>
      <c r="U64" s="32"/>
      <c r="V64" s="32"/>
    </row>
    <row r="65" spans="1:22" s="124" customFormat="1" ht="10.9" customHeight="1">
      <c r="A65" s="59"/>
      <c r="B65" s="148">
        <v>64</v>
      </c>
      <c r="C65" s="148">
        <v>57</v>
      </c>
      <c r="D65" s="149" t="s">
        <v>81</v>
      </c>
      <c r="E65" s="148">
        <f>VLOOKUP(B65,Data!$A$5:$T$85,$E$6)</f>
        <v>197.67592638206889</v>
      </c>
      <c r="F65" s="148">
        <f t="shared" si="7"/>
        <v>197.6765663820689</v>
      </c>
      <c r="G65" s="148">
        <f t="shared" si="4"/>
        <v>64</v>
      </c>
      <c r="H65" s="150" t="str">
        <f t="shared" si="5"/>
        <v xml:space="preserve">Strathbogie </v>
      </c>
      <c r="I65" s="150">
        <f t="shared" si="6"/>
        <v>275.97428050719139</v>
      </c>
      <c r="J65" s="59"/>
      <c r="K65" s="32"/>
      <c r="L65" s="32"/>
      <c r="M65" s="32"/>
      <c r="N65" s="32"/>
      <c r="O65" s="32"/>
      <c r="P65" s="32"/>
      <c r="Q65" s="32"/>
      <c r="R65" s="32"/>
      <c r="S65" s="32"/>
      <c r="T65" s="32"/>
      <c r="U65" s="32"/>
      <c r="V65" s="32"/>
    </row>
    <row r="66" spans="1:22" s="124" customFormat="1" ht="10.9" customHeight="1">
      <c r="A66" s="59"/>
      <c r="B66" s="148">
        <v>65</v>
      </c>
      <c r="C66" s="148">
        <v>58</v>
      </c>
      <c r="D66" s="149" t="s">
        <v>82</v>
      </c>
      <c r="E66" s="148">
        <f>VLOOKUP(B66,Data!$A$5:$T$85,$E$6)</f>
        <v>275.97428050719139</v>
      </c>
      <c r="F66" s="148">
        <f t="shared" si="7"/>
        <v>275.9749305071914</v>
      </c>
      <c r="G66" s="148">
        <f t="shared" si="4"/>
        <v>57</v>
      </c>
      <c r="H66" s="150" t="str">
        <f t="shared" si="5"/>
        <v xml:space="preserve">Moira </v>
      </c>
      <c r="I66" s="150">
        <f t="shared" si="6"/>
        <v>260.76022067441886</v>
      </c>
      <c r="J66" s="59"/>
      <c r="K66" s="32"/>
      <c r="L66" s="32"/>
      <c r="M66" s="32"/>
      <c r="N66" s="32"/>
      <c r="O66" s="32"/>
      <c r="P66" s="32"/>
      <c r="Q66" s="32"/>
      <c r="R66" s="32"/>
      <c r="S66" s="32"/>
      <c r="T66" s="32"/>
      <c r="U66" s="32"/>
      <c r="V66" s="32"/>
    </row>
    <row r="67" spans="1:22" s="124" customFormat="1" ht="10.9" customHeight="1">
      <c r="A67" s="59"/>
      <c r="B67" s="148">
        <v>66</v>
      </c>
      <c r="C67" s="148">
        <v>59</v>
      </c>
      <c r="D67" s="149" t="s">
        <v>83</v>
      </c>
      <c r="E67" s="148">
        <f>VLOOKUP(B67,Data!$A$5:$T$85,$E$6)</f>
        <v>170.43367245092014</v>
      </c>
      <c r="F67" s="148">
        <f t="shared" si="7"/>
        <v>170.43433245092015</v>
      </c>
      <c r="G67" s="148">
        <f t="shared" si="4"/>
        <v>66</v>
      </c>
      <c r="H67" s="150" t="str">
        <f t="shared" si="5"/>
        <v xml:space="preserve">Yarra Ranges </v>
      </c>
      <c r="I67" s="150">
        <f t="shared" si="6"/>
        <v>247.3862375405333</v>
      </c>
      <c r="J67" s="59"/>
      <c r="K67" s="32"/>
      <c r="L67" s="32"/>
      <c r="M67" s="32"/>
      <c r="N67" s="32"/>
      <c r="O67" s="32"/>
      <c r="P67" s="32"/>
      <c r="Q67" s="32"/>
      <c r="R67" s="32"/>
      <c r="S67" s="32"/>
      <c r="T67" s="32"/>
      <c r="U67" s="32"/>
      <c r="V67" s="32"/>
    </row>
    <row r="68" spans="1:22" s="124" customFormat="1" ht="10.9" customHeight="1">
      <c r="A68" s="59"/>
      <c r="B68" s="148">
        <v>67</v>
      </c>
      <c r="C68" s="148">
        <v>60</v>
      </c>
      <c r="D68" s="149" t="s">
        <v>84</v>
      </c>
      <c r="E68" s="148">
        <f>VLOOKUP(B68,Data!$A$5:$T$85,$E$6)</f>
        <v>618.46953062005844</v>
      </c>
      <c r="F68" s="148">
        <f t="shared" si="7"/>
        <v>618.47020062005845</v>
      </c>
      <c r="G68" s="148">
        <f t="shared" si="4"/>
        <v>27</v>
      </c>
      <c r="H68" s="150" t="str">
        <f t="shared" si="5"/>
        <v xml:space="preserve">Hepburn </v>
      </c>
      <c r="I68" s="150">
        <f t="shared" si="6"/>
        <v>247.19428699517297</v>
      </c>
      <c r="J68" s="59"/>
      <c r="K68" s="32"/>
      <c r="L68" s="32"/>
      <c r="M68" s="32"/>
      <c r="N68" s="32"/>
      <c r="O68" s="32"/>
      <c r="P68" s="32"/>
      <c r="Q68" s="32"/>
      <c r="R68" s="32"/>
      <c r="S68" s="32"/>
      <c r="T68" s="32"/>
      <c r="U68" s="32"/>
      <c r="V68" s="32"/>
    </row>
    <row r="69" spans="1:22" s="124" customFormat="1" ht="10.9" customHeight="1">
      <c r="A69" s="59"/>
      <c r="B69" s="148">
        <v>68</v>
      </c>
      <c r="C69" s="148">
        <v>61</v>
      </c>
      <c r="D69" s="149" t="s">
        <v>85</v>
      </c>
      <c r="E69" s="148">
        <f>VLOOKUP(B69,Data!$A$5:$T$85,$E$6)</f>
        <v>90.214616662089426</v>
      </c>
      <c r="F69" s="148">
        <f t="shared" si="7"/>
        <v>90.215296662089429</v>
      </c>
      <c r="G69" s="148">
        <f t="shared" si="4"/>
        <v>70</v>
      </c>
      <c r="H69" s="150" t="str">
        <f t="shared" si="5"/>
        <v xml:space="preserve">Macedon Ranges </v>
      </c>
      <c r="I69" s="150">
        <f t="shared" si="6"/>
        <v>242.84308025419568</v>
      </c>
      <c r="J69" s="59"/>
      <c r="K69" s="32"/>
      <c r="L69" s="32"/>
      <c r="M69" s="32"/>
      <c r="N69" s="32"/>
      <c r="O69" s="32"/>
      <c r="P69" s="32"/>
      <c r="Q69" s="32"/>
      <c r="R69" s="32"/>
      <c r="S69" s="32"/>
      <c r="T69" s="32"/>
      <c r="U69" s="32"/>
      <c r="V69" s="32"/>
    </row>
    <row r="70" spans="1:22" s="124" customFormat="1" ht="10.9" customHeight="1">
      <c r="A70" s="59"/>
      <c r="B70" s="148">
        <v>69</v>
      </c>
      <c r="C70" s="148">
        <v>62</v>
      </c>
      <c r="D70" s="149" t="s">
        <v>86</v>
      </c>
      <c r="E70" s="148">
        <f>VLOOKUP(B70,Data!$A$5:$T$85,$E$6)</f>
        <v>464.29999119285435</v>
      </c>
      <c r="F70" s="148">
        <f t="shared" si="7"/>
        <v>464.30068119285437</v>
      </c>
      <c r="G70" s="148">
        <f t="shared" si="4"/>
        <v>40</v>
      </c>
      <c r="H70" s="150" t="str">
        <f t="shared" si="5"/>
        <v xml:space="preserve">Mansfield </v>
      </c>
      <c r="I70" s="150">
        <f t="shared" si="6"/>
        <v>228.19634604775285</v>
      </c>
      <c r="J70" s="59"/>
      <c r="K70" s="32"/>
      <c r="L70" s="32"/>
      <c r="M70" s="32"/>
      <c r="N70" s="32"/>
      <c r="O70" s="32"/>
      <c r="P70" s="32"/>
      <c r="Q70" s="32"/>
      <c r="R70" s="32"/>
      <c r="S70" s="32"/>
      <c r="T70" s="32"/>
      <c r="U70" s="32"/>
      <c r="V70" s="32"/>
    </row>
    <row r="71" spans="1:22" s="124" customFormat="1" ht="10.9" customHeight="1">
      <c r="A71" s="59"/>
      <c r="B71" s="148">
        <v>70</v>
      </c>
      <c r="C71" s="148">
        <v>63</v>
      </c>
      <c r="D71" s="149" t="s">
        <v>87</v>
      </c>
      <c r="E71" s="148">
        <f>VLOOKUP(B71,Data!$A$5:$T$85,$E$6)</f>
        <v>861.59601115514067</v>
      </c>
      <c r="F71" s="148">
        <f t="shared" si="7"/>
        <v>861.59671115514072</v>
      </c>
      <c r="G71" s="148">
        <f t="shared" si="4"/>
        <v>5</v>
      </c>
      <c r="H71" s="150" t="str">
        <f t="shared" si="5"/>
        <v xml:space="preserve">Nillumbik </v>
      </c>
      <c r="I71" s="150">
        <f t="shared" si="6"/>
        <v>207.57044214289027</v>
      </c>
      <c r="J71" s="59"/>
      <c r="K71" s="32"/>
      <c r="L71" s="32"/>
      <c r="M71" s="32"/>
      <c r="N71" s="32"/>
      <c r="O71" s="32"/>
      <c r="P71" s="32"/>
      <c r="Q71" s="32"/>
      <c r="R71" s="32"/>
      <c r="S71" s="32"/>
      <c r="T71" s="32"/>
      <c r="U71" s="32"/>
      <c r="V71" s="32"/>
    </row>
    <row r="72" spans="1:22" s="124" customFormat="1" ht="10.9" customHeight="1">
      <c r="A72" s="59"/>
      <c r="B72" s="148">
        <v>71</v>
      </c>
      <c r="C72" s="148">
        <v>64</v>
      </c>
      <c r="D72" s="149" t="s">
        <v>88</v>
      </c>
      <c r="E72" s="148">
        <f>VLOOKUP(B72,Data!$A$5:$T$85,$E$6)</f>
        <v>749.68759730231943</v>
      </c>
      <c r="F72" s="148">
        <f t="shared" si="7"/>
        <v>749.68830730231946</v>
      </c>
      <c r="G72" s="148">
        <f t="shared" si="4"/>
        <v>15</v>
      </c>
      <c r="H72" s="150" t="str">
        <f t="shared" si="5"/>
        <v xml:space="preserve">Stonnington </v>
      </c>
      <c r="I72" s="150">
        <f t="shared" si="6"/>
        <v>197.67592638206889</v>
      </c>
      <c r="J72" s="59"/>
      <c r="K72" s="32"/>
      <c r="L72" s="32"/>
      <c r="M72" s="32"/>
      <c r="N72" s="32"/>
      <c r="O72" s="32"/>
      <c r="P72" s="32"/>
      <c r="Q72" s="32"/>
      <c r="R72" s="32"/>
      <c r="S72" s="32"/>
      <c r="T72" s="32"/>
      <c r="U72" s="32"/>
      <c r="V72" s="32"/>
    </row>
    <row r="73" spans="1:22" s="124" customFormat="1" ht="10.9" customHeight="1">
      <c r="A73" s="59"/>
      <c r="B73" s="148">
        <v>73</v>
      </c>
      <c r="C73" s="148">
        <v>65</v>
      </c>
      <c r="D73" s="149" t="s">
        <v>152</v>
      </c>
      <c r="E73" s="148">
        <f>VLOOKUP(B73,Data!$A$5:$T$85,$E$6)</f>
        <v>430.34077861761489</v>
      </c>
      <c r="F73" s="148">
        <f t="shared" si="7"/>
        <v>430.34150861761486</v>
      </c>
      <c r="G73" s="148">
        <f t="shared" ref="G73:G78" si="8">RANK(F73,F$9:F$78)</f>
        <v>44</v>
      </c>
      <c r="H73" s="150" t="str">
        <f t="shared" ref="H73:H78" si="9">VLOOKUP(MATCH(C73,G$9:G$78,0),$C$9:$G$78,2)</f>
        <v xml:space="preserve">Mount Alexander </v>
      </c>
      <c r="I73" s="150">
        <f t="shared" ref="I73:I78" si="10">VLOOKUP(MATCH(C73,G$9:G$78,0),$C$9:$G$78,3)</f>
        <v>184.21735247819723</v>
      </c>
      <c r="J73" s="59"/>
      <c r="K73" s="32"/>
      <c r="L73" s="32"/>
      <c r="M73" s="32"/>
      <c r="N73" s="32"/>
      <c r="O73" s="32"/>
      <c r="P73" s="32"/>
      <c r="Q73" s="32"/>
      <c r="R73" s="32"/>
      <c r="S73" s="32"/>
      <c r="T73" s="32"/>
      <c r="U73" s="32"/>
      <c r="V73" s="32"/>
    </row>
    <row r="74" spans="1:22" s="124" customFormat="1" ht="10.9" customHeight="1">
      <c r="A74" s="59"/>
      <c r="B74" s="148">
        <v>74</v>
      </c>
      <c r="C74" s="148">
        <v>66</v>
      </c>
      <c r="D74" s="149" t="s">
        <v>90</v>
      </c>
      <c r="E74" s="148">
        <f>VLOOKUP(B74,Data!$A$5:$T$85,$E$6)</f>
        <v>766.63982182053098</v>
      </c>
      <c r="F74" s="148">
        <f t="shared" si="7"/>
        <v>766.64056182053093</v>
      </c>
      <c r="G74" s="148">
        <f t="shared" si="8"/>
        <v>12</v>
      </c>
      <c r="H74" s="150" t="str">
        <f t="shared" si="9"/>
        <v xml:space="preserve">Surf Coast </v>
      </c>
      <c r="I74" s="150">
        <f t="shared" si="10"/>
        <v>170.43367245092014</v>
      </c>
      <c r="J74" s="59"/>
      <c r="K74" s="32"/>
      <c r="L74" s="32"/>
      <c r="M74" s="32"/>
      <c r="N74" s="32"/>
      <c r="O74" s="32"/>
      <c r="P74" s="32"/>
      <c r="Q74" s="32"/>
      <c r="R74" s="32"/>
      <c r="S74" s="32"/>
      <c r="T74" s="32"/>
      <c r="U74" s="32"/>
      <c r="V74" s="32"/>
    </row>
    <row r="75" spans="1:22" s="124" customFormat="1" ht="10.9" customHeight="1">
      <c r="A75" s="59"/>
      <c r="B75" s="148">
        <v>75</v>
      </c>
      <c r="C75" s="148">
        <v>67</v>
      </c>
      <c r="D75" s="149" t="s">
        <v>91</v>
      </c>
      <c r="E75" s="148">
        <f>VLOOKUP(B75,Data!$A$5:$T$85,$E$6)</f>
        <v>332.68154583655587</v>
      </c>
      <c r="F75" s="148">
        <f t="shared" si="7"/>
        <v>332.68229583655585</v>
      </c>
      <c r="G75" s="148">
        <f t="shared" si="8"/>
        <v>52</v>
      </c>
      <c r="H75" s="150" t="str">
        <f t="shared" si="9"/>
        <v xml:space="preserve">Bayside </v>
      </c>
      <c r="I75" s="150">
        <f t="shared" si="10"/>
        <v>151.61852138031117</v>
      </c>
      <c r="J75" s="59"/>
      <c r="K75" s="32"/>
      <c r="L75" s="32"/>
      <c r="M75" s="32"/>
      <c r="N75" s="32"/>
      <c r="O75" s="32"/>
      <c r="P75" s="32"/>
      <c r="Q75" s="32"/>
      <c r="R75" s="32"/>
      <c r="S75" s="32"/>
      <c r="T75" s="32"/>
      <c r="U75" s="32"/>
      <c r="V75" s="32"/>
    </row>
    <row r="76" spans="1:22" s="124" customFormat="1" ht="10.9" customHeight="1">
      <c r="A76" s="59"/>
      <c r="B76" s="148">
        <v>76</v>
      </c>
      <c r="C76" s="148">
        <v>68</v>
      </c>
      <c r="D76" s="149" t="s">
        <v>92</v>
      </c>
      <c r="E76" s="148">
        <f>VLOOKUP(B76,Data!$A$5:$T$85,$E$6)</f>
        <v>561.19989554325832</v>
      </c>
      <c r="F76" s="148">
        <f t="shared" si="7"/>
        <v>561.20065554325834</v>
      </c>
      <c r="G76" s="148">
        <f t="shared" si="8"/>
        <v>37</v>
      </c>
      <c r="H76" s="150" t="str">
        <f t="shared" si="9"/>
        <v xml:space="preserve">Boroondara </v>
      </c>
      <c r="I76" s="150">
        <f t="shared" si="10"/>
        <v>137.25518527232322</v>
      </c>
      <c r="J76" s="59"/>
      <c r="K76" s="32"/>
      <c r="L76" s="32"/>
      <c r="M76" s="32"/>
      <c r="N76" s="32"/>
      <c r="O76" s="32"/>
      <c r="P76" s="32"/>
      <c r="Q76" s="32"/>
      <c r="R76" s="32"/>
      <c r="S76" s="32"/>
      <c r="T76" s="32"/>
      <c r="U76" s="32"/>
      <c r="V76" s="32"/>
    </row>
    <row r="77" spans="1:22" s="124" customFormat="1" ht="10.9" customHeight="1">
      <c r="A77" s="59"/>
      <c r="B77" s="148">
        <v>77</v>
      </c>
      <c r="C77" s="148">
        <v>69</v>
      </c>
      <c r="D77" s="149" t="s">
        <v>155</v>
      </c>
      <c r="E77" s="148">
        <f>VLOOKUP(B77,Data!$A$5:$T$85,$E$6)</f>
        <v>358.69311007607365</v>
      </c>
      <c r="F77" s="148">
        <f t="shared" si="7"/>
        <v>358.69388007607364</v>
      </c>
      <c r="G77" s="148">
        <f t="shared" si="8"/>
        <v>50</v>
      </c>
      <c r="H77" s="150" t="str">
        <f t="shared" si="9"/>
        <v xml:space="preserve">Murrindindi </v>
      </c>
      <c r="I77" s="150">
        <f t="shared" si="10"/>
        <v>136.43424040068504</v>
      </c>
      <c r="J77" s="59"/>
      <c r="K77" s="32"/>
      <c r="L77" s="32"/>
      <c r="M77" s="32"/>
      <c r="N77" s="32"/>
      <c r="O77" s="32"/>
      <c r="P77" s="32"/>
      <c r="Q77" s="32"/>
      <c r="R77" s="32"/>
      <c r="S77" s="32"/>
      <c r="T77" s="32"/>
      <c r="U77" s="32"/>
      <c r="V77" s="32"/>
    </row>
    <row r="78" spans="1:22" s="124" customFormat="1" ht="10.9" customHeight="1">
      <c r="A78" s="59"/>
      <c r="B78" s="148">
        <v>78</v>
      </c>
      <c r="C78" s="148">
        <v>70</v>
      </c>
      <c r="D78" s="149" t="s">
        <v>93</v>
      </c>
      <c r="E78" s="148">
        <f>VLOOKUP(B78,Data!$A$5:$T$85,$E$6)</f>
        <v>247.3862375405333</v>
      </c>
      <c r="F78" s="148">
        <f t="shared" si="7"/>
        <v>247.38701754053329</v>
      </c>
      <c r="G78" s="148">
        <f t="shared" si="8"/>
        <v>59</v>
      </c>
      <c r="H78" s="150" t="str">
        <f t="shared" si="9"/>
        <v xml:space="preserve">Towong </v>
      </c>
      <c r="I78" s="150">
        <f t="shared" si="10"/>
        <v>90.214616662089426</v>
      </c>
      <c r="J78" s="59"/>
      <c r="K78" s="32"/>
      <c r="L78" s="32"/>
      <c r="M78" s="32"/>
      <c r="N78" s="32"/>
      <c r="O78" s="32"/>
      <c r="P78" s="32"/>
      <c r="Q78" s="32"/>
      <c r="R78" s="32"/>
      <c r="S78" s="32"/>
      <c r="T78" s="32"/>
      <c r="U78" s="32"/>
      <c r="V78" s="32"/>
    </row>
    <row r="79" spans="1:22" s="124" customFormat="1">
      <c r="A79" s="59"/>
      <c r="B79" s="148"/>
      <c r="C79" s="148"/>
      <c r="D79" s="149"/>
      <c r="E79" s="148"/>
      <c r="F79" s="148"/>
      <c r="G79" s="148"/>
      <c r="H79" s="150"/>
      <c r="I79" s="150"/>
      <c r="J79" s="59"/>
      <c r="K79" s="32"/>
      <c r="L79" s="32"/>
      <c r="M79" s="32"/>
      <c r="N79" s="32"/>
      <c r="O79" s="32"/>
      <c r="P79" s="32"/>
      <c r="Q79" s="32"/>
      <c r="R79" s="32"/>
      <c r="S79" s="32"/>
      <c r="T79" s="32"/>
      <c r="U79" s="32"/>
      <c r="V79" s="32"/>
    </row>
    <row r="80" spans="1:22" s="124" customFormat="1">
      <c r="A80" s="32"/>
      <c r="B80" s="129"/>
      <c r="C80" s="129"/>
      <c r="D80" s="130"/>
      <c r="E80" s="129"/>
      <c r="F80" s="129"/>
      <c r="G80" s="129"/>
      <c r="H80" s="131"/>
      <c r="I80" s="131"/>
      <c r="J80" s="32"/>
      <c r="K80" s="32"/>
      <c r="L80" s="32"/>
      <c r="M80" s="32"/>
      <c r="N80" s="32"/>
      <c r="O80" s="32"/>
      <c r="P80" s="32"/>
      <c r="Q80" s="32"/>
      <c r="R80" s="32"/>
      <c r="S80" s="32"/>
      <c r="T80" s="32"/>
      <c r="U80" s="32"/>
      <c r="V80" s="32"/>
    </row>
    <row r="81" spans="1:22" s="124" customFormat="1">
      <c r="A81" s="32"/>
      <c r="B81" s="129"/>
      <c r="C81" s="129"/>
      <c r="D81" s="130"/>
      <c r="E81" s="129"/>
      <c r="F81" s="129"/>
      <c r="G81" s="129"/>
      <c r="H81" s="131"/>
      <c r="I81" s="131"/>
      <c r="J81" s="32"/>
      <c r="K81" s="32"/>
      <c r="L81" s="32"/>
      <c r="M81" s="32"/>
      <c r="N81" s="32"/>
      <c r="O81" s="32"/>
      <c r="P81" s="32"/>
      <c r="Q81" s="32"/>
      <c r="R81" s="32"/>
      <c r="S81" s="32"/>
      <c r="T81" s="32"/>
      <c r="U81" s="32"/>
      <c r="V81" s="32"/>
    </row>
    <row r="82" spans="1:22" s="124" customFormat="1">
      <c r="A82" s="32"/>
      <c r="B82" s="129"/>
      <c r="C82" s="129"/>
      <c r="D82" s="130"/>
      <c r="E82" s="129"/>
      <c r="F82" s="129"/>
      <c r="G82" s="129"/>
      <c r="H82" s="131"/>
      <c r="I82" s="131"/>
      <c r="J82" s="32"/>
      <c r="K82" s="32"/>
      <c r="L82" s="32"/>
      <c r="M82" s="32"/>
      <c r="N82" s="32"/>
      <c r="O82" s="32"/>
      <c r="P82" s="32"/>
      <c r="Q82" s="32"/>
      <c r="R82" s="32"/>
      <c r="S82" s="32"/>
      <c r="T82" s="32"/>
      <c r="U82" s="32"/>
      <c r="V82" s="32"/>
    </row>
    <row r="83" spans="1:22" s="124" customFormat="1">
      <c r="A83" s="32"/>
      <c r="B83" s="129"/>
      <c r="C83" s="129"/>
      <c r="D83" s="130"/>
      <c r="E83" s="129"/>
      <c r="F83" s="129"/>
      <c r="G83" s="129"/>
      <c r="H83" s="131"/>
      <c r="I83" s="131"/>
      <c r="J83" s="32"/>
      <c r="K83" s="32"/>
      <c r="L83" s="32"/>
      <c r="M83" s="32"/>
      <c r="N83" s="32"/>
      <c r="O83" s="32"/>
      <c r="P83" s="32"/>
      <c r="Q83" s="32"/>
      <c r="R83" s="32"/>
      <c r="S83" s="32"/>
      <c r="T83" s="32"/>
      <c r="U83" s="32"/>
      <c r="V83" s="32"/>
    </row>
    <row r="84" spans="1:22" s="124" customFormat="1">
      <c r="A84" s="32"/>
      <c r="B84" s="129"/>
      <c r="C84" s="129"/>
      <c r="D84" s="130"/>
      <c r="E84" s="129"/>
      <c r="F84" s="129"/>
      <c r="G84" s="129"/>
      <c r="H84" s="131"/>
      <c r="I84" s="131"/>
      <c r="J84" s="32"/>
      <c r="K84" s="32"/>
      <c r="L84" s="32"/>
      <c r="M84" s="32"/>
      <c r="N84" s="32"/>
      <c r="O84" s="32"/>
      <c r="P84" s="32"/>
      <c r="Q84" s="32"/>
      <c r="R84" s="32"/>
      <c r="S84" s="32"/>
      <c r="T84" s="32"/>
      <c r="U84" s="32"/>
      <c r="V84" s="32"/>
    </row>
    <row r="85" spans="1:22" s="124" customFormat="1">
      <c r="A85" s="32"/>
      <c r="B85" s="129"/>
      <c r="C85" s="129"/>
      <c r="D85" s="130"/>
      <c r="E85" s="129"/>
      <c r="F85" s="129"/>
      <c r="G85" s="129"/>
      <c r="H85" s="131"/>
      <c r="I85" s="131"/>
      <c r="J85" s="32"/>
      <c r="K85" s="32"/>
      <c r="L85" s="32"/>
      <c r="M85" s="32"/>
      <c r="N85" s="32"/>
      <c r="O85" s="32"/>
      <c r="P85" s="32"/>
      <c r="Q85" s="32"/>
      <c r="R85" s="32"/>
      <c r="S85" s="32"/>
      <c r="T85" s="32"/>
      <c r="U85" s="32"/>
      <c r="V85" s="32"/>
    </row>
    <row r="86" spans="1:22" s="124" customFormat="1">
      <c r="A86" s="32"/>
      <c r="B86" s="129"/>
      <c r="C86" s="129"/>
      <c r="D86" s="130"/>
      <c r="E86" s="129"/>
      <c r="F86" s="129"/>
      <c r="G86" s="129"/>
      <c r="H86" s="131"/>
      <c r="I86" s="131"/>
      <c r="J86" s="32"/>
      <c r="K86" s="32"/>
      <c r="L86" s="32"/>
      <c r="M86" s="32"/>
      <c r="N86" s="32"/>
      <c r="O86" s="32"/>
      <c r="P86" s="32"/>
      <c r="Q86" s="32"/>
      <c r="R86" s="32"/>
      <c r="S86" s="32"/>
      <c r="T86" s="32"/>
      <c r="U86" s="32"/>
      <c r="V86" s="32"/>
    </row>
    <row r="87" spans="1:22" s="124" customFormat="1">
      <c r="A87" s="32"/>
      <c r="B87" s="129"/>
      <c r="C87" s="129"/>
      <c r="D87" s="130"/>
      <c r="E87" s="129"/>
      <c r="F87" s="129"/>
      <c r="G87" s="129"/>
      <c r="H87" s="131"/>
      <c r="I87" s="131"/>
      <c r="J87" s="32"/>
      <c r="K87" s="32"/>
      <c r="L87" s="32"/>
      <c r="M87" s="32"/>
      <c r="N87" s="32"/>
      <c r="O87" s="32"/>
      <c r="P87" s="32"/>
      <c r="Q87" s="32"/>
      <c r="R87" s="32"/>
      <c r="S87" s="32"/>
      <c r="T87" s="32"/>
      <c r="U87" s="32"/>
      <c r="V87" s="32"/>
    </row>
    <row r="88" spans="1:22" s="124" customFormat="1">
      <c r="A88" s="32"/>
      <c r="B88" s="32"/>
      <c r="C88" s="32"/>
      <c r="D88" s="32"/>
      <c r="E88" s="32"/>
      <c r="F88" s="32"/>
      <c r="G88" s="32"/>
      <c r="H88" s="98"/>
      <c r="I88" s="98"/>
      <c r="J88" s="32"/>
      <c r="K88" s="32"/>
      <c r="L88" s="32"/>
      <c r="M88" s="32"/>
      <c r="N88" s="32"/>
      <c r="O88" s="32"/>
      <c r="P88" s="32"/>
      <c r="Q88" s="32"/>
      <c r="R88" s="32"/>
      <c r="S88" s="32"/>
      <c r="T88" s="32"/>
      <c r="U88" s="32"/>
      <c r="V88" s="32"/>
    </row>
    <row r="89" spans="1:22" s="124" customFormat="1">
      <c r="A89" s="32"/>
      <c r="B89" s="32"/>
      <c r="C89" s="32"/>
      <c r="D89" s="32"/>
      <c r="E89" s="32"/>
      <c r="F89" s="32"/>
      <c r="G89" s="32"/>
      <c r="H89" s="98"/>
      <c r="I89" s="98"/>
      <c r="J89" s="32"/>
      <c r="K89" s="32"/>
      <c r="L89" s="32"/>
      <c r="M89" s="32"/>
      <c r="N89" s="32"/>
      <c r="O89" s="32"/>
      <c r="P89" s="32"/>
      <c r="Q89" s="32"/>
      <c r="R89" s="32"/>
      <c r="S89" s="32"/>
      <c r="T89" s="32"/>
      <c r="U89" s="32"/>
      <c r="V89" s="32"/>
    </row>
    <row r="90" spans="1:22" s="124" customFormat="1">
      <c r="A90" s="32"/>
      <c r="B90" s="32"/>
      <c r="C90" s="32"/>
      <c r="D90" s="32"/>
      <c r="E90" s="32"/>
      <c r="F90" s="32"/>
      <c r="G90" s="32"/>
      <c r="H90" s="98"/>
      <c r="I90" s="98"/>
      <c r="J90" s="32"/>
      <c r="K90" s="32"/>
      <c r="L90" s="32"/>
      <c r="M90" s="32"/>
      <c r="N90" s="32"/>
      <c r="O90" s="32"/>
      <c r="P90" s="32"/>
      <c r="Q90" s="32"/>
      <c r="R90" s="32"/>
      <c r="S90" s="32"/>
      <c r="T90" s="32"/>
      <c r="U90" s="32"/>
      <c r="V90" s="32"/>
    </row>
    <row r="91" spans="1:22" s="124" customFormat="1">
      <c r="A91" s="32"/>
      <c r="B91" s="32"/>
      <c r="C91" s="32"/>
      <c r="D91" s="32"/>
      <c r="E91" s="32"/>
      <c r="F91" s="32"/>
      <c r="G91" s="32"/>
      <c r="H91" s="98"/>
      <c r="I91" s="98"/>
      <c r="J91" s="32"/>
      <c r="K91" s="32"/>
      <c r="L91" s="32"/>
      <c r="M91" s="32"/>
      <c r="N91" s="32"/>
      <c r="O91" s="32"/>
      <c r="P91" s="32"/>
      <c r="Q91" s="32"/>
      <c r="R91" s="32"/>
      <c r="S91" s="32"/>
      <c r="T91" s="32"/>
      <c r="U91" s="32"/>
      <c r="V91" s="32"/>
    </row>
    <row r="92" spans="1:22" s="124" customFormat="1">
      <c r="A92" s="32"/>
      <c r="B92" s="32"/>
      <c r="C92" s="32"/>
      <c r="D92" s="32"/>
      <c r="E92" s="32"/>
      <c r="F92" s="32"/>
      <c r="G92" s="32"/>
      <c r="H92" s="98"/>
      <c r="I92" s="98"/>
      <c r="J92" s="32"/>
      <c r="K92" s="32"/>
      <c r="L92" s="32"/>
      <c r="M92" s="32"/>
      <c r="N92" s="32"/>
      <c r="O92" s="32"/>
      <c r="P92" s="32"/>
      <c r="Q92" s="32"/>
      <c r="R92" s="32"/>
      <c r="S92" s="32"/>
      <c r="T92" s="32"/>
      <c r="U92" s="32"/>
      <c r="V92" s="32"/>
    </row>
    <row r="93" spans="1:22" s="124" customFormat="1">
      <c r="A93" s="32"/>
      <c r="B93" s="32"/>
      <c r="C93" s="32"/>
      <c r="D93" s="32"/>
      <c r="E93" s="32"/>
      <c r="F93" s="32"/>
      <c r="G93" s="32"/>
      <c r="H93" s="98"/>
      <c r="I93" s="98"/>
      <c r="J93" s="32"/>
      <c r="K93" s="32"/>
      <c r="L93" s="32"/>
      <c r="M93" s="32"/>
      <c r="N93" s="32"/>
      <c r="O93" s="32"/>
      <c r="P93" s="32"/>
      <c r="Q93" s="32"/>
      <c r="R93" s="32"/>
      <c r="S93" s="32"/>
      <c r="T93" s="32"/>
      <c r="U93" s="32"/>
      <c r="V93" s="32"/>
    </row>
    <row r="94" spans="1:22" s="124" customFormat="1">
      <c r="A94" s="32"/>
      <c r="B94" s="32"/>
      <c r="C94" s="32"/>
      <c r="D94" s="32"/>
      <c r="E94" s="32"/>
      <c r="F94" s="32"/>
      <c r="G94" s="32"/>
      <c r="H94" s="98"/>
      <c r="I94" s="98"/>
      <c r="J94" s="32"/>
      <c r="K94" s="32"/>
      <c r="L94" s="32"/>
      <c r="M94" s="32"/>
      <c r="N94" s="32"/>
      <c r="O94" s="32"/>
      <c r="P94" s="32"/>
      <c r="Q94" s="32"/>
      <c r="R94" s="32"/>
      <c r="S94" s="32"/>
      <c r="T94" s="32"/>
      <c r="U94" s="32"/>
      <c r="V94" s="32"/>
    </row>
    <row r="95" spans="1:22" s="124" customFormat="1">
      <c r="A95" s="32"/>
      <c r="B95" s="32"/>
      <c r="C95" s="32"/>
      <c r="D95" s="32"/>
      <c r="E95" s="32"/>
      <c r="F95" s="32"/>
      <c r="G95" s="32"/>
      <c r="H95" s="98"/>
      <c r="I95" s="98"/>
      <c r="J95" s="32"/>
      <c r="K95" s="32"/>
      <c r="L95" s="32"/>
      <c r="M95" s="32"/>
      <c r="N95" s="32"/>
      <c r="O95" s="32"/>
      <c r="P95" s="32"/>
      <c r="Q95" s="32"/>
      <c r="R95" s="32"/>
      <c r="S95" s="32"/>
      <c r="T95" s="32"/>
      <c r="U95" s="32"/>
      <c r="V95" s="32"/>
    </row>
    <row r="96" spans="1:22" s="124" customFormat="1">
      <c r="A96" s="32"/>
      <c r="B96" s="32"/>
      <c r="C96" s="32"/>
      <c r="D96" s="32"/>
      <c r="E96" s="32"/>
      <c r="F96" s="32"/>
      <c r="G96" s="32"/>
      <c r="H96" s="98"/>
      <c r="I96" s="98"/>
      <c r="J96" s="32"/>
      <c r="K96" s="32"/>
      <c r="L96" s="32"/>
      <c r="M96" s="32"/>
      <c r="N96" s="32"/>
      <c r="O96" s="32"/>
      <c r="P96" s="32"/>
      <c r="Q96" s="32"/>
      <c r="R96" s="32"/>
      <c r="S96" s="32"/>
      <c r="T96" s="32"/>
      <c r="U96" s="32"/>
      <c r="V96" s="32"/>
    </row>
    <row r="97" spans="1:22" s="124" customFormat="1">
      <c r="A97" s="32"/>
      <c r="B97" s="32"/>
      <c r="C97" s="32"/>
      <c r="D97" s="32"/>
      <c r="E97" s="32"/>
      <c r="F97" s="32"/>
      <c r="G97" s="32"/>
      <c r="H97" s="98"/>
      <c r="I97" s="98"/>
      <c r="J97" s="32"/>
      <c r="K97" s="32"/>
      <c r="L97" s="32"/>
      <c r="M97" s="32"/>
      <c r="N97" s="32"/>
      <c r="O97" s="32"/>
      <c r="P97" s="32"/>
      <c r="Q97" s="32"/>
      <c r="R97" s="32"/>
      <c r="S97" s="32"/>
      <c r="T97" s="32"/>
      <c r="U97" s="32"/>
      <c r="V97" s="32"/>
    </row>
    <row r="98" spans="1:22" s="124" customFormat="1">
      <c r="A98" s="32"/>
      <c r="B98" s="32"/>
      <c r="C98" s="32"/>
      <c r="D98" s="32"/>
      <c r="E98" s="32"/>
      <c r="F98" s="32"/>
      <c r="G98" s="32"/>
      <c r="H98" s="98"/>
      <c r="I98" s="98"/>
      <c r="J98" s="32"/>
      <c r="K98" s="32"/>
      <c r="L98" s="32"/>
      <c r="M98" s="32"/>
      <c r="N98" s="32"/>
      <c r="O98" s="32"/>
      <c r="P98" s="32"/>
      <c r="Q98" s="32"/>
      <c r="R98" s="32"/>
      <c r="S98" s="32"/>
      <c r="T98" s="32"/>
      <c r="U98" s="32"/>
      <c r="V98" s="32"/>
    </row>
    <row r="99" spans="1:22" s="124" customFormat="1">
      <c r="A99" s="32"/>
      <c r="B99" s="32"/>
      <c r="C99" s="32"/>
      <c r="D99" s="32"/>
      <c r="E99" s="32"/>
      <c r="F99" s="32"/>
      <c r="G99" s="32"/>
      <c r="H99" s="98"/>
      <c r="I99" s="98"/>
      <c r="J99" s="32"/>
      <c r="K99" s="32"/>
      <c r="L99" s="32"/>
      <c r="M99" s="32"/>
      <c r="N99" s="32"/>
      <c r="O99" s="32"/>
      <c r="P99" s="32"/>
      <c r="Q99" s="32"/>
      <c r="R99" s="32"/>
      <c r="S99" s="32"/>
      <c r="T99" s="32"/>
      <c r="U99" s="32"/>
      <c r="V99" s="32"/>
    </row>
    <row r="100" spans="1:22" s="124" customFormat="1">
      <c r="A100" s="32"/>
      <c r="B100" s="32"/>
      <c r="C100" s="32"/>
      <c r="D100" s="32"/>
      <c r="E100" s="32"/>
      <c r="F100" s="32"/>
      <c r="G100" s="32"/>
      <c r="H100" s="98"/>
      <c r="I100" s="98"/>
      <c r="J100" s="32"/>
      <c r="K100" s="32"/>
      <c r="L100" s="32"/>
      <c r="M100" s="32"/>
      <c r="N100" s="32"/>
      <c r="O100" s="32"/>
      <c r="P100" s="32"/>
      <c r="Q100" s="32"/>
      <c r="R100" s="32"/>
      <c r="S100" s="32"/>
      <c r="T100" s="32"/>
      <c r="U100" s="32"/>
      <c r="V100" s="32"/>
    </row>
    <row r="101" spans="1:22" s="124" customFormat="1">
      <c r="A101" s="32"/>
      <c r="B101" s="32"/>
      <c r="C101" s="32"/>
      <c r="D101" s="32"/>
      <c r="E101" s="32"/>
      <c r="F101" s="32"/>
      <c r="G101" s="32"/>
      <c r="H101" s="98"/>
      <c r="I101" s="98"/>
      <c r="J101" s="32"/>
      <c r="K101" s="32"/>
      <c r="L101" s="32"/>
      <c r="M101" s="32"/>
      <c r="N101" s="32"/>
      <c r="O101" s="32"/>
      <c r="P101" s="32"/>
      <c r="Q101" s="32"/>
      <c r="R101" s="32"/>
      <c r="S101" s="32"/>
      <c r="T101" s="32"/>
      <c r="U101" s="32"/>
      <c r="V101" s="32"/>
    </row>
    <row r="102" spans="1:22" s="124" customFormat="1">
      <c r="A102" s="32"/>
      <c r="B102" s="32"/>
      <c r="C102" s="32"/>
      <c r="D102" s="32"/>
      <c r="E102" s="32"/>
      <c r="F102" s="32"/>
      <c r="G102" s="32"/>
      <c r="H102" s="98"/>
      <c r="I102" s="98"/>
      <c r="J102" s="32"/>
      <c r="K102" s="32"/>
      <c r="L102" s="32"/>
      <c r="M102" s="32"/>
      <c r="N102" s="32"/>
      <c r="O102" s="32"/>
      <c r="P102" s="32"/>
      <c r="Q102" s="32"/>
      <c r="R102" s="32"/>
      <c r="S102" s="32"/>
      <c r="T102" s="32"/>
      <c r="U102" s="32"/>
      <c r="V102" s="32"/>
    </row>
    <row r="103" spans="1:22" s="124" customFormat="1">
      <c r="A103" s="32"/>
      <c r="B103" s="32"/>
      <c r="C103" s="32"/>
      <c r="D103" s="32"/>
      <c r="E103" s="32"/>
      <c r="F103" s="32"/>
      <c r="G103" s="32"/>
      <c r="H103" s="98"/>
      <c r="I103" s="98"/>
      <c r="J103" s="32"/>
      <c r="K103" s="32"/>
      <c r="L103" s="32"/>
      <c r="M103" s="32"/>
      <c r="N103" s="32"/>
      <c r="O103" s="32"/>
      <c r="P103" s="32"/>
      <c r="Q103" s="32"/>
      <c r="R103" s="32"/>
      <c r="S103" s="32"/>
      <c r="T103" s="32"/>
      <c r="U103" s="32"/>
      <c r="V103" s="32"/>
    </row>
    <row r="104" spans="1:22" s="124" customFormat="1">
      <c r="A104" s="32"/>
      <c r="B104" s="32"/>
      <c r="C104" s="32"/>
      <c r="D104" s="32"/>
      <c r="E104" s="32"/>
      <c r="F104" s="32"/>
      <c r="G104" s="32"/>
      <c r="H104" s="98"/>
      <c r="I104" s="98"/>
      <c r="J104" s="32"/>
      <c r="K104" s="32"/>
      <c r="L104" s="32"/>
      <c r="M104" s="32"/>
      <c r="N104" s="32"/>
      <c r="O104" s="32"/>
      <c r="P104" s="32"/>
      <c r="Q104" s="32"/>
      <c r="R104" s="32"/>
      <c r="S104" s="32"/>
      <c r="T104" s="32"/>
      <c r="U104" s="32"/>
      <c r="V104" s="32"/>
    </row>
    <row r="105" spans="1:22" s="124" customFormat="1">
      <c r="A105" s="32"/>
      <c r="B105" s="32"/>
      <c r="C105" s="32"/>
      <c r="D105" s="32"/>
      <c r="E105" s="32"/>
      <c r="F105" s="32"/>
      <c r="G105" s="32"/>
      <c r="H105" s="98"/>
      <c r="I105" s="98"/>
      <c r="J105" s="32"/>
      <c r="K105" s="32"/>
      <c r="L105" s="32"/>
      <c r="M105" s="32"/>
      <c r="N105" s="32"/>
      <c r="O105" s="32"/>
      <c r="P105" s="32"/>
      <c r="Q105" s="32"/>
      <c r="R105" s="32"/>
      <c r="S105" s="32"/>
      <c r="T105" s="32"/>
      <c r="U105" s="32"/>
      <c r="V105" s="32"/>
    </row>
    <row r="106" spans="1:22" s="124" customFormat="1">
      <c r="A106" s="32"/>
      <c r="B106" s="32"/>
      <c r="C106" s="32"/>
      <c r="D106" s="32"/>
      <c r="E106" s="32"/>
      <c r="F106" s="32"/>
      <c r="G106" s="32"/>
      <c r="H106" s="98"/>
      <c r="I106" s="98"/>
      <c r="J106" s="32"/>
      <c r="K106" s="32"/>
      <c r="L106" s="32"/>
      <c r="M106" s="32"/>
      <c r="N106" s="32"/>
      <c r="O106" s="32"/>
      <c r="P106" s="32"/>
      <c r="Q106" s="32"/>
      <c r="R106" s="32"/>
      <c r="S106" s="32"/>
      <c r="T106" s="32"/>
      <c r="U106" s="32"/>
      <c r="V106" s="32"/>
    </row>
    <row r="107" spans="1:22" s="124" customFormat="1">
      <c r="A107" s="32"/>
      <c r="B107" s="32"/>
      <c r="C107" s="32"/>
      <c r="D107" s="32"/>
      <c r="E107" s="32"/>
      <c r="F107" s="32"/>
      <c r="G107" s="32"/>
      <c r="H107" s="98"/>
      <c r="I107" s="98"/>
      <c r="J107" s="32"/>
      <c r="K107" s="32"/>
      <c r="L107" s="32"/>
      <c r="M107" s="32"/>
      <c r="N107" s="32"/>
      <c r="O107" s="32"/>
      <c r="P107" s="32"/>
      <c r="Q107" s="32"/>
      <c r="R107" s="32"/>
      <c r="S107" s="32"/>
      <c r="T107" s="32"/>
      <c r="U107" s="32"/>
      <c r="V107" s="32"/>
    </row>
    <row r="108" spans="1:22" s="124" customFormat="1">
      <c r="A108" s="32"/>
      <c r="B108" s="32"/>
      <c r="C108" s="32"/>
      <c r="D108" s="32"/>
      <c r="E108" s="32"/>
      <c r="F108" s="32"/>
      <c r="G108" s="32"/>
      <c r="H108" s="98"/>
      <c r="I108" s="98"/>
      <c r="J108" s="32"/>
      <c r="K108" s="32"/>
      <c r="L108" s="32"/>
      <c r="M108" s="32"/>
      <c r="N108" s="32"/>
      <c r="O108" s="32"/>
      <c r="P108" s="32"/>
      <c r="Q108" s="32"/>
      <c r="R108" s="32"/>
      <c r="S108" s="32"/>
      <c r="T108" s="32"/>
      <c r="U108" s="32"/>
      <c r="V108" s="32"/>
    </row>
    <row r="109" spans="1:22" s="124" customFormat="1">
      <c r="A109" s="32"/>
      <c r="B109" s="32"/>
      <c r="C109" s="32"/>
      <c r="D109" s="32"/>
      <c r="E109" s="32"/>
      <c r="F109" s="32"/>
      <c r="G109" s="32"/>
      <c r="H109" s="98"/>
      <c r="I109" s="98"/>
      <c r="J109" s="32"/>
      <c r="K109" s="32"/>
      <c r="L109" s="32"/>
      <c r="M109" s="32"/>
      <c r="N109" s="32"/>
      <c r="O109" s="32"/>
      <c r="P109" s="32"/>
      <c r="Q109" s="32"/>
      <c r="R109" s="32"/>
      <c r="S109" s="32"/>
      <c r="T109" s="32"/>
      <c r="U109" s="32"/>
      <c r="V109" s="32"/>
    </row>
    <row r="110" spans="1:22" s="124" customFormat="1">
      <c r="A110" s="32"/>
      <c r="B110" s="32"/>
      <c r="C110" s="32"/>
      <c r="D110" s="32"/>
      <c r="E110" s="32"/>
      <c r="F110" s="32"/>
      <c r="G110" s="32"/>
      <c r="H110" s="98"/>
      <c r="I110" s="98"/>
      <c r="J110" s="32"/>
      <c r="K110" s="32"/>
      <c r="L110" s="32"/>
      <c r="M110" s="32"/>
      <c r="N110" s="32"/>
      <c r="O110" s="32"/>
      <c r="P110" s="32"/>
      <c r="Q110" s="32"/>
      <c r="R110" s="32"/>
      <c r="S110" s="32"/>
      <c r="T110" s="32"/>
      <c r="U110" s="32"/>
      <c r="V110" s="32"/>
    </row>
    <row r="111" spans="1:22" s="124" customFormat="1">
      <c r="A111" s="32"/>
      <c r="B111" s="32"/>
      <c r="C111" s="32"/>
      <c r="D111" s="32"/>
      <c r="E111" s="32"/>
      <c r="F111" s="32"/>
      <c r="G111" s="32"/>
      <c r="H111" s="98"/>
      <c r="I111" s="98"/>
      <c r="J111" s="32"/>
      <c r="K111" s="32"/>
      <c r="L111" s="32"/>
      <c r="M111" s="32"/>
      <c r="N111" s="32"/>
      <c r="O111" s="32"/>
      <c r="P111" s="32"/>
      <c r="Q111" s="32"/>
      <c r="R111" s="32"/>
      <c r="S111" s="32"/>
      <c r="T111" s="32"/>
      <c r="U111" s="32"/>
      <c r="V111" s="32"/>
    </row>
    <row r="112" spans="1:22" s="124" customFormat="1">
      <c r="A112" s="32"/>
      <c r="B112" s="32"/>
      <c r="C112" s="32"/>
      <c r="D112" s="32"/>
      <c r="E112" s="32"/>
      <c r="F112" s="32"/>
      <c r="G112" s="32"/>
      <c r="H112" s="98"/>
      <c r="I112" s="98"/>
      <c r="J112" s="32"/>
      <c r="K112" s="32"/>
      <c r="L112" s="32"/>
      <c r="M112" s="32"/>
      <c r="N112" s="32"/>
      <c r="O112" s="32"/>
      <c r="P112" s="32"/>
      <c r="Q112" s="32"/>
      <c r="R112" s="32"/>
      <c r="S112" s="32"/>
      <c r="T112" s="32"/>
      <c r="U112" s="32"/>
      <c r="V112" s="32"/>
    </row>
    <row r="113" spans="1:22" s="124" customFormat="1">
      <c r="A113" s="32"/>
      <c r="B113" s="32"/>
      <c r="C113" s="32"/>
      <c r="D113" s="32"/>
      <c r="E113" s="32"/>
      <c r="F113" s="32"/>
      <c r="G113" s="32"/>
      <c r="H113" s="98"/>
      <c r="I113" s="98"/>
      <c r="J113" s="32"/>
      <c r="K113" s="32"/>
      <c r="L113" s="32"/>
      <c r="M113" s="32"/>
      <c r="N113" s="32"/>
      <c r="O113" s="32"/>
      <c r="P113" s="32"/>
      <c r="Q113" s="32"/>
      <c r="R113" s="32"/>
      <c r="S113" s="32"/>
      <c r="T113" s="32"/>
      <c r="U113" s="32"/>
      <c r="V113" s="32"/>
    </row>
    <row r="114" spans="1:22" s="124" customFormat="1">
      <c r="A114" s="32"/>
      <c r="B114" s="32"/>
      <c r="C114" s="32"/>
      <c r="D114" s="32"/>
      <c r="E114" s="32"/>
      <c r="F114" s="32"/>
      <c r="G114" s="32"/>
      <c r="H114" s="98"/>
      <c r="I114" s="98"/>
      <c r="J114" s="32"/>
      <c r="K114" s="32"/>
      <c r="L114" s="32"/>
      <c r="M114" s="32"/>
      <c r="N114" s="32"/>
      <c r="O114" s="32"/>
      <c r="P114" s="32"/>
      <c r="Q114" s="32"/>
      <c r="R114" s="32"/>
      <c r="S114" s="32"/>
      <c r="T114" s="32"/>
      <c r="U114" s="32"/>
      <c r="V114" s="32"/>
    </row>
    <row r="115" spans="1:22" s="124" customFormat="1">
      <c r="A115" s="32"/>
      <c r="B115" s="32"/>
      <c r="C115" s="32"/>
      <c r="D115" s="32"/>
      <c r="E115" s="32"/>
      <c r="F115" s="32"/>
      <c r="G115" s="32"/>
      <c r="H115" s="98"/>
      <c r="I115" s="98"/>
      <c r="J115" s="32"/>
      <c r="K115" s="32"/>
      <c r="L115" s="32"/>
      <c r="M115" s="32"/>
      <c r="N115" s="32"/>
      <c r="O115" s="32"/>
      <c r="P115" s="32"/>
      <c r="Q115" s="32"/>
      <c r="R115" s="32"/>
      <c r="S115" s="32"/>
      <c r="T115" s="32"/>
      <c r="U115" s="32"/>
      <c r="V115" s="32"/>
    </row>
    <row r="116" spans="1:22" s="124" customFormat="1">
      <c r="A116" s="32"/>
      <c r="B116" s="32"/>
      <c r="C116" s="32"/>
      <c r="D116" s="32"/>
      <c r="E116" s="32"/>
      <c r="F116" s="32"/>
      <c r="G116" s="32"/>
      <c r="H116" s="98"/>
      <c r="I116" s="98"/>
      <c r="J116" s="32"/>
      <c r="K116" s="32"/>
      <c r="L116" s="32"/>
      <c r="M116" s="32"/>
      <c r="N116" s="32"/>
      <c r="O116" s="32"/>
      <c r="P116" s="32"/>
      <c r="Q116" s="32"/>
      <c r="R116" s="32"/>
      <c r="S116" s="32"/>
      <c r="T116" s="32"/>
      <c r="U116" s="32"/>
      <c r="V116" s="32"/>
    </row>
    <row r="117" spans="1:22" s="124" customFormat="1">
      <c r="A117" s="32"/>
      <c r="B117" s="32"/>
      <c r="C117" s="32"/>
      <c r="D117" s="32"/>
      <c r="E117" s="32"/>
      <c r="F117" s="32"/>
      <c r="G117" s="32"/>
      <c r="H117" s="98"/>
      <c r="I117" s="98"/>
      <c r="J117" s="32"/>
      <c r="K117" s="32"/>
      <c r="L117" s="32"/>
      <c r="M117" s="32"/>
      <c r="N117" s="32"/>
      <c r="O117" s="32"/>
      <c r="P117" s="32"/>
      <c r="Q117" s="32"/>
      <c r="R117" s="32"/>
      <c r="S117" s="32"/>
      <c r="T117" s="32"/>
      <c r="U117" s="32"/>
      <c r="V117" s="32"/>
    </row>
    <row r="118" spans="1:22" s="124" customFormat="1">
      <c r="A118" s="32"/>
      <c r="B118" s="32"/>
      <c r="C118" s="32"/>
      <c r="D118" s="32"/>
      <c r="E118" s="32"/>
      <c r="F118" s="32"/>
      <c r="G118" s="32"/>
      <c r="H118" s="98"/>
      <c r="I118" s="98"/>
      <c r="J118" s="32"/>
      <c r="K118" s="32"/>
      <c r="L118" s="32"/>
      <c r="M118" s="32"/>
      <c r="N118" s="32"/>
      <c r="O118" s="32"/>
      <c r="P118" s="32"/>
      <c r="Q118" s="32"/>
      <c r="R118" s="32"/>
      <c r="S118" s="32"/>
      <c r="T118" s="32"/>
      <c r="U118" s="32"/>
      <c r="V118" s="32"/>
    </row>
    <row r="119" spans="1:22" s="124" customFormat="1">
      <c r="A119" s="32"/>
      <c r="B119" s="32"/>
      <c r="C119" s="32"/>
      <c r="D119" s="32"/>
      <c r="E119" s="32"/>
      <c r="F119" s="32"/>
      <c r="G119" s="32"/>
      <c r="H119" s="98"/>
      <c r="I119" s="98"/>
      <c r="J119" s="32"/>
      <c r="K119" s="32"/>
      <c r="L119" s="32"/>
      <c r="M119" s="32"/>
      <c r="N119" s="32"/>
      <c r="O119" s="32"/>
      <c r="P119" s="32"/>
      <c r="Q119" s="32"/>
      <c r="R119" s="32"/>
      <c r="S119" s="32"/>
      <c r="T119" s="32"/>
      <c r="U119" s="32"/>
      <c r="V119" s="32"/>
    </row>
    <row r="120" spans="1:22" s="124" customFormat="1">
      <c r="A120" s="32"/>
      <c r="B120" s="32"/>
      <c r="C120" s="32"/>
      <c r="D120" s="32"/>
      <c r="E120" s="32"/>
      <c r="F120" s="32"/>
      <c r="G120" s="32"/>
      <c r="H120" s="98"/>
      <c r="I120" s="98"/>
      <c r="J120" s="32"/>
      <c r="K120" s="32"/>
      <c r="L120" s="32"/>
      <c r="M120" s="32"/>
      <c r="N120" s="32"/>
      <c r="O120" s="32"/>
      <c r="P120" s="32"/>
      <c r="Q120" s="32"/>
      <c r="R120" s="32"/>
      <c r="S120" s="32"/>
      <c r="T120" s="32"/>
      <c r="U120" s="32"/>
      <c r="V120" s="32"/>
    </row>
    <row r="121" spans="1:22" s="124" customFormat="1">
      <c r="A121" s="32"/>
      <c r="B121" s="32"/>
      <c r="C121" s="32"/>
      <c r="D121" s="32"/>
      <c r="E121" s="32"/>
      <c r="F121" s="32"/>
      <c r="G121" s="32"/>
      <c r="H121" s="98"/>
      <c r="I121" s="98"/>
      <c r="J121" s="32"/>
      <c r="K121" s="32"/>
      <c r="L121" s="32"/>
      <c r="M121" s="32"/>
      <c r="N121" s="32"/>
      <c r="O121" s="32"/>
      <c r="P121" s="32"/>
      <c r="Q121" s="32"/>
      <c r="R121" s="32"/>
      <c r="S121" s="32"/>
      <c r="T121" s="32"/>
      <c r="U121" s="32"/>
      <c r="V121" s="32"/>
    </row>
    <row r="122" spans="1:22" s="124" customFormat="1">
      <c r="A122" s="32"/>
      <c r="B122" s="32"/>
      <c r="C122" s="32"/>
      <c r="D122" s="32"/>
      <c r="E122" s="32"/>
      <c r="F122" s="32"/>
      <c r="G122" s="32"/>
      <c r="H122" s="98"/>
      <c r="I122" s="98"/>
      <c r="J122" s="32"/>
      <c r="K122" s="32"/>
      <c r="L122" s="32"/>
      <c r="M122" s="32"/>
      <c r="N122" s="32"/>
      <c r="O122" s="32"/>
      <c r="P122" s="32"/>
      <c r="Q122" s="32"/>
      <c r="R122" s="32"/>
      <c r="S122" s="32"/>
      <c r="T122" s="32"/>
      <c r="U122" s="32"/>
      <c r="V122" s="32"/>
    </row>
    <row r="123" spans="1:22" s="124" customFormat="1">
      <c r="A123" s="32"/>
      <c r="B123" s="32"/>
      <c r="C123" s="32"/>
      <c r="D123" s="32"/>
      <c r="E123" s="32"/>
      <c r="F123" s="32"/>
      <c r="G123" s="32"/>
      <c r="H123" s="98"/>
      <c r="I123" s="98"/>
      <c r="J123" s="32"/>
      <c r="K123" s="32"/>
      <c r="L123" s="32"/>
      <c r="M123" s="32"/>
      <c r="N123" s="32"/>
      <c r="O123" s="32"/>
      <c r="P123" s="32"/>
      <c r="Q123" s="32"/>
      <c r="R123" s="32"/>
      <c r="S123" s="32"/>
      <c r="T123" s="32"/>
      <c r="U123" s="32"/>
      <c r="V123" s="32"/>
    </row>
    <row r="124" spans="1:22" s="124" customFormat="1">
      <c r="A124" s="32"/>
      <c r="B124" s="32"/>
      <c r="C124" s="32"/>
      <c r="D124" s="32"/>
      <c r="E124" s="32"/>
      <c r="F124" s="32"/>
      <c r="G124" s="32"/>
      <c r="H124" s="98"/>
      <c r="I124" s="98"/>
      <c r="J124" s="32"/>
      <c r="K124" s="32"/>
      <c r="L124" s="32"/>
      <c r="M124" s="32"/>
      <c r="N124" s="32"/>
      <c r="O124" s="32"/>
      <c r="P124" s="32"/>
      <c r="Q124" s="32"/>
      <c r="R124" s="32"/>
      <c r="S124" s="32"/>
      <c r="T124" s="32"/>
      <c r="U124" s="32"/>
      <c r="V124" s="32"/>
    </row>
    <row r="125" spans="1:22" s="124" customFormat="1">
      <c r="A125" s="32"/>
      <c r="B125" s="32"/>
      <c r="C125" s="32"/>
      <c r="D125" s="32"/>
      <c r="E125" s="32"/>
      <c r="F125" s="32"/>
      <c r="G125" s="32"/>
      <c r="H125" s="98"/>
      <c r="I125" s="98"/>
      <c r="J125" s="32"/>
      <c r="K125" s="32"/>
      <c r="L125" s="32"/>
      <c r="M125" s="32"/>
      <c r="N125" s="32"/>
      <c r="O125" s="32"/>
      <c r="P125" s="32"/>
      <c r="Q125" s="32"/>
      <c r="R125" s="32"/>
      <c r="S125" s="32"/>
      <c r="T125" s="32"/>
      <c r="U125" s="32"/>
      <c r="V125" s="32"/>
    </row>
    <row r="126" spans="1:22" s="124" customFormat="1">
      <c r="A126" s="32"/>
      <c r="B126" s="32"/>
      <c r="C126" s="32"/>
      <c r="D126" s="32"/>
      <c r="E126" s="32"/>
      <c r="F126" s="32"/>
      <c r="G126" s="32"/>
      <c r="H126" s="98"/>
      <c r="I126" s="98"/>
      <c r="J126" s="32"/>
      <c r="K126" s="32"/>
      <c r="L126" s="32"/>
      <c r="M126" s="32"/>
      <c r="N126" s="32"/>
      <c r="O126" s="32"/>
      <c r="P126" s="32"/>
      <c r="Q126" s="32"/>
      <c r="R126" s="32"/>
      <c r="S126" s="32"/>
      <c r="T126" s="32"/>
      <c r="U126" s="32"/>
      <c r="V126" s="32"/>
    </row>
    <row r="127" spans="1:22" s="124" customFormat="1">
      <c r="A127" s="32"/>
      <c r="B127" s="32"/>
      <c r="C127" s="32"/>
      <c r="D127" s="32"/>
      <c r="E127" s="32"/>
      <c r="F127" s="32"/>
      <c r="G127" s="32"/>
      <c r="H127" s="98"/>
      <c r="I127" s="98"/>
      <c r="J127" s="32"/>
      <c r="K127" s="32"/>
      <c r="L127" s="32"/>
      <c r="M127" s="32"/>
      <c r="N127" s="32"/>
      <c r="O127" s="32"/>
      <c r="P127" s="32"/>
      <c r="Q127" s="32"/>
      <c r="R127" s="32"/>
      <c r="S127" s="32"/>
      <c r="T127" s="32"/>
      <c r="U127" s="32"/>
      <c r="V127" s="32"/>
    </row>
    <row r="128" spans="1:22" s="124" customFormat="1">
      <c r="A128" s="32"/>
      <c r="B128" s="32"/>
      <c r="C128" s="32"/>
      <c r="D128" s="32"/>
      <c r="E128" s="32"/>
      <c r="F128" s="32"/>
      <c r="G128" s="32"/>
      <c r="H128" s="98"/>
      <c r="I128" s="98"/>
      <c r="J128" s="32"/>
      <c r="K128" s="32"/>
      <c r="L128" s="32"/>
      <c r="M128" s="32"/>
      <c r="N128" s="32"/>
      <c r="O128" s="32"/>
      <c r="P128" s="32"/>
      <c r="Q128" s="32"/>
      <c r="R128" s="32"/>
      <c r="S128" s="32"/>
      <c r="T128" s="32"/>
      <c r="U128" s="32"/>
      <c r="V128" s="32"/>
    </row>
    <row r="129" spans="1:22" s="124" customFormat="1">
      <c r="A129" s="32"/>
      <c r="B129" s="32"/>
      <c r="C129" s="32"/>
      <c r="D129" s="32"/>
      <c r="E129" s="32"/>
      <c r="F129" s="32"/>
      <c r="G129" s="32"/>
      <c r="H129" s="98"/>
      <c r="I129" s="98"/>
      <c r="J129" s="32"/>
      <c r="K129" s="32"/>
      <c r="L129" s="32"/>
      <c r="M129" s="32"/>
      <c r="N129" s="32"/>
      <c r="O129" s="32"/>
      <c r="P129" s="32"/>
      <c r="Q129" s="32"/>
      <c r="R129" s="32"/>
      <c r="S129" s="32"/>
      <c r="T129" s="32"/>
      <c r="U129" s="32"/>
      <c r="V129" s="32"/>
    </row>
    <row r="130" spans="1:22" s="124" customFormat="1">
      <c r="A130" s="32"/>
      <c r="B130" s="32"/>
      <c r="C130" s="32"/>
      <c r="D130" s="32"/>
      <c r="E130" s="32"/>
      <c r="F130" s="32"/>
      <c r="G130" s="32"/>
      <c r="H130" s="98"/>
      <c r="I130" s="98"/>
      <c r="J130" s="32"/>
      <c r="K130" s="32"/>
      <c r="L130" s="32"/>
      <c r="M130" s="32"/>
      <c r="N130" s="32"/>
      <c r="O130" s="32"/>
      <c r="P130" s="32"/>
      <c r="Q130" s="32"/>
      <c r="R130" s="32"/>
      <c r="S130" s="32"/>
      <c r="T130" s="32"/>
      <c r="U130" s="32"/>
      <c r="V130" s="32"/>
    </row>
    <row r="131" spans="1:22" s="124" customFormat="1">
      <c r="A131" s="32"/>
      <c r="B131" s="32"/>
      <c r="C131" s="32"/>
      <c r="D131" s="32"/>
      <c r="E131" s="32"/>
      <c r="F131" s="32"/>
      <c r="G131" s="32"/>
      <c r="H131" s="98"/>
      <c r="I131" s="98"/>
      <c r="J131" s="32"/>
      <c r="K131" s="32"/>
      <c r="L131" s="32"/>
      <c r="M131" s="32"/>
      <c r="N131" s="32"/>
      <c r="O131" s="32"/>
      <c r="P131" s="32"/>
      <c r="Q131" s="32"/>
      <c r="R131" s="32"/>
      <c r="S131" s="32"/>
      <c r="T131" s="32"/>
      <c r="U131" s="32"/>
      <c r="V131" s="32"/>
    </row>
    <row r="132" spans="1:22" s="124" customFormat="1">
      <c r="A132" s="32"/>
      <c r="B132" s="32"/>
      <c r="C132" s="32"/>
      <c r="D132" s="32"/>
      <c r="E132" s="32"/>
      <c r="F132" s="32"/>
      <c r="G132" s="32"/>
      <c r="H132" s="98"/>
      <c r="I132" s="98"/>
      <c r="J132" s="32"/>
      <c r="K132" s="32"/>
      <c r="L132" s="32"/>
      <c r="M132" s="32"/>
      <c r="N132" s="32"/>
      <c r="O132" s="32"/>
      <c r="P132" s="32"/>
      <c r="Q132" s="32"/>
      <c r="R132" s="32"/>
      <c r="S132" s="32"/>
      <c r="T132" s="32"/>
      <c r="U132" s="32"/>
      <c r="V132" s="32"/>
    </row>
    <row r="133" spans="1:22" s="124" customFormat="1">
      <c r="A133" s="32"/>
      <c r="B133" s="32"/>
      <c r="C133" s="32"/>
      <c r="D133" s="32"/>
      <c r="E133" s="32"/>
      <c r="F133" s="32"/>
      <c r="G133" s="32"/>
      <c r="H133" s="98"/>
      <c r="I133" s="98"/>
      <c r="J133" s="32"/>
      <c r="K133" s="32"/>
      <c r="L133" s="32"/>
      <c r="M133" s="32"/>
      <c r="N133" s="32"/>
      <c r="O133" s="32"/>
      <c r="P133" s="32"/>
      <c r="Q133" s="32"/>
      <c r="R133" s="32"/>
      <c r="S133" s="32"/>
      <c r="T133" s="32"/>
      <c r="U133" s="32"/>
      <c r="V133" s="32"/>
    </row>
    <row r="134" spans="1:22" s="124" customFormat="1">
      <c r="A134" s="32"/>
      <c r="B134" s="32"/>
      <c r="C134" s="32"/>
      <c r="D134" s="32"/>
      <c r="E134" s="32"/>
      <c r="F134" s="32"/>
      <c r="G134" s="32"/>
      <c r="H134" s="98"/>
      <c r="I134" s="98"/>
      <c r="J134" s="32"/>
      <c r="K134" s="32"/>
      <c r="L134" s="32"/>
      <c r="M134" s="32"/>
      <c r="N134" s="32"/>
      <c r="O134" s="32"/>
      <c r="P134" s="32"/>
      <c r="Q134" s="32"/>
      <c r="R134" s="32"/>
      <c r="S134" s="32"/>
      <c r="T134" s="32"/>
      <c r="U134" s="32"/>
      <c r="V134" s="32"/>
    </row>
    <row r="135" spans="1:22" s="124" customFormat="1">
      <c r="A135" s="32"/>
      <c r="B135" s="32"/>
      <c r="C135" s="32"/>
      <c r="D135" s="32"/>
      <c r="E135" s="32"/>
      <c r="F135" s="32"/>
      <c r="G135" s="32"/>
      <c r="H135" s="98"/>
      <c r="I135" s="98"/>
      <c r="J135" s="32"/>
      <c r="K135" s="32"/>
      <c r="L135" s="32"/>
      <c r="M135" s="32"/>
      <c r="N135" s="32"/>
      <c r="O135" s="32"/>
      <c r="P135" s="32"/>
      <c r="Q135" s="32"/>
      <c r="R135" s="32"/>
      <c r="S135" s="32"/>
      <c r="T135" s="32"/>
      <c r="U135" s="32"/>
      <c r="V135" s="32"/>
    </row>
    <row r="136" spans="1:22" s="124" customFormat="1">
      <c r="A136" s="32"/>
      <c r="B136" s="32"/>
      <c r="C136" s="32"/>
      <c r="D136" s="32"/>
      <c r="E136" s="32"/>
      <c r="F136" s="32"/>
      <c r="G136" s="32"/>
      <c r="H136" s="98"/>
      <c r="I136" s="98"/>
      <c r="J136" s="32"/>
      <c r="K136" s="32"/>
      <c r="L136" s="32"/>
      <c r="M136" s="32"/>
      <c r="N136" s="32"/>
      <c r="O136" s="32"/>
      <c r="P136" s="32"/>
      <c r="Q136" s="32"/>
      <c r="R136" s="32"/>
      <c r="S136" s="32"/>
      <c r="T136" s="32"/>
      <c r="U136" s="32"/>
      <c r="V136" s="32"/>
    </row>
    <row r="137" spans="1:22">
      <c r="A137" s="32"/>
      <c r="B137" s="32"/>
      <c r="C137" s="32"/>
      <c r="D137" s="32"/>
      <c r="E137" s="32"/>
      <c r="F137" s="32"/>
      <c r="G137" s="32"/>
      <c r="H137" s="98"/>
      <c r="I137" s="98"/>
      <c r="J137" s="32"/>
    </row>
    <row r="138" spans="1:22">
      <c r="A138" s="32"/>
      <c r="B138" s="32"/>
      <c r="C138" s="32"/>
      <c r="D138" s="32"/>
      <c r="E138" s="32"/>
      <c r="F138" s="32"/>
      <c r="G138" s="32"/>
      <c r="H138" s="98"/>
      <c r="I138" s="98"/>
      <c r="J138" s="32"/>
    </row>
    <row r="139" spans="1:22">
      <c r="A139" s="32"/>
      <c r="B139" s="32"/>
      <c r="C139" s="32"/>
      <c r="D139" s="32"/>
      <c r="E139" s="32"/>
      <c r="F139" s="32"/>
      <c r="G139" s="32"/>
      <c r="H139" s="98"/>
      <c r="I139" s="98"/>
      <c r="J139" s="32"/>
    </row>
    <row r="140" spans="1:22">
      <c r="A140" s="32"/>
      <c r="B140" s="32"/>
      <c r="C140" s="32"/>
      <c r="D140" s="32"/>
      <c r="E140" s="32"/>
      <c r="F140" s="32"/>
      <c r="G140" s="32"/>
      <c r="H140" s="98"/>
      <c r="I140" s="98"/>
      <c r="J140" s="32"/>
    </row>
    <row r="141" spans="1:22">
      <c r="B141" s="59"/>
      <c r="C141" s="59"/>
      <c r="D141" s="59"/>
      <c r="E141" s="59"/>
      <c r="F141" s="59"/>
      <c r="G141" s="59"/>
      <c r="H141" s="60"/>
      <c r="I141" s="60"/>
      <c r="J141" s="59"/>
    </row>
    <row r="142" spans="1:22">
      <c r="B142" s="59"/>
      <c r="C142" s="59"/>
      <c r="D142" s="59"/>
      <c r="E142" s="59"/>
      <c r="F142" s="59"/>
      <c r="G142" s="59"/>
      <c r="H142" s="60"/>
      <c r="I142" s="60"/>
      <c r="J142" s="59"/>
    </row>
    <row r="143" spans="1:22">
      <c r="B143" s="59"/>
      <c r="C143" s="59"/>
      <c r="D143" s="59"/>
      <c r="E143" s="59"/>
      <c r="F143" s="59"/>
      <c r="G143" s="59"/>
      <c r="H143" s="60"/>
      <c r="I143" s="60"/>
      <c r="J143" s="59"/>
    </row>
    <row r="144" spans="1:22">
      <c r="B144" s="59"/>
      <c r="C144" s="59"/>
      <c r="D144" s="59"/>
      <c r="E144" s="59"/>
      <c r="F144" s="59"/>
      <c r="G144" s="59"/>
      <c r="H144" s="60"/>
      <c r="I144" s="60"/>
      <c r="J144" s="59"/>
    </row>
  </sheetData>
  <sheetProtection sheet="1" objects="1" scenarios="1"/>
  <pageMargins left="0.39370078740157483" right="0.39370078740157483" top="0.39370078740157483" bottom="0.39370078740157483" header="0.39370078740157483"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247650</xdr:colOff>
                    <xdr:row>4</xdr:row>
                    <xdr:rowOff>69850</xdr:rowOff>
                  </from>
                  <to>
                    <xdr:col>5</xdr:col>
                    <xdr:colOff>12700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B5D7-F389-4A7B-9151-FE8AB9A5D8CA}">
  <sheetPr>
    <tabColor theme="3" tint="-0.499984740745262"/>
    <pageSetUpPr fitToPage="1"/>
  </sheetPr>
  <dimension ref="B1:AA851"/>
  <sheetViews>
    <sheetView showGridLines="0" showRowColHeaders="0" zoomScale="75" zoomScaleNormal="75" workbookViewId="0">
      <pane xSplit="7" ySplit="6" topLeftCell="H22" activePane="bottomRight" state="frozen"/>
      <selection pane="topRight" activeCell="I1" sqref="I1"/>
      <selection pane="bottomLeft" activeCell="A7" sqref="A7"/>
      <selection pane="bottomRight" activeCell="H55" sqref="H55"/>
    </sheetView>
  </sheetViews>
  <sheetFormatPr defaultColWidth="8.81640625" defaultRowHeight="12"/>
  <cols>
    <col min="1" max="1" width="1.81640625" style="133" customWidth="1"/>
    <col min="2" max="2" width="34.08984375" style="132" customWidth="1"/>
    <col min="3" max="3" width="18.08984375" style="133" customWidth="1"/>
    <col min="4" max="4" width="19.36328125" style="133" customWidth="1"/>
    <col min="5" max="5" width="16.08984375" style="135" customWidth="1"/>
    <col min="6" max="7" width="18.08984375" style="133" customWidth="1"/>
    <col min="8" max="8" width="16.08984375" style="152" customWidth="1"/>
    <col min="9" max="9" width="17.7265625" style="152" customWidth="1"/>
    <col min="10" max="27" width="8.81640625" style="152"/>
    <col min="28" max="255" width="8.81640625" style="133"/>
    <col min="256" max="256" width="6" style="133" customWidth="1"/>
    <col min="257" max="257" width="34.08984375" style="133" customWidth="1"/>
    <col min="258" max="258" width="18.08984375" style="133" customWidth="1"/>
    <col min="259" max="259" width="18.6328125" style="133" bestFit="1" customWidth="1"/>
    <col min="260" max="262" width="18.08984375" style="133" customWidth="1"/>
    <col min="263" max="263" width="12" style="133" customWidth="1"/>
    <col min="264" max="264" width="16.08984375" style="133" customWidth="1"/>
    <col min="265" max="511" width="8.81640625" style="133"/>
    <col min="512" max="512" width="6" style="133" customWidth="1"/>
    <col min="513" max="513" width="34.08984375" style="133" customWidth="1"/>
    <col min="514" max="514" width="18.08984375" style="133" customWidth="1"/>
    <col min="515" max="515" width="18.6328125" style="133" bestFit="1" customWidth="1"/>
    <col min="516" max="518" width="18.08984375" style="133" customWidth="1"/>
    <col min="519" max="519" width="12" style="133" customWidth="1"/>
    <col min="520" max="520" width="16.08984375" style="133" customWidth="1"/>
    <col min="521" max="767" width="8.81640625" style="133"/>
    <col min="768" max="768" width="6" style="133" customWidth="1"/>
    <col min="769" max="769" width="34.08984375" style="133" customWidth="1"/>
    <col min="770" max="770" width="18.08984375" style="133" customWidth="1"/>
    <col min="771" max="771" width="18.6328125" style="133" bestFit="1" customWidth="1"/>
    <col min="772" max="774" width="18.08984375" style="133" customWidth="1"/>
    <col min="775" max="775" width="12" style="133" customWidth="1"/>
    <col min="776" max="776" width="16.08984375" style="133" customWidth="1"/>
    <col min="777" max="1023" width="8.81640625" style="133"/>
    <col min="1024" max="1024" width="6" style="133" customWidth="1"/>
    <col min="1025" max="1025" width="34.08984375" style="133" customWidth="1"/>
    <col min="1026" max="1026" width="18.08984375" style="133" customWidth="1"/>
    <col min="1027" max="1027" width="18.6328125" style="133" bestFit="1" customWidth="1"/>
    <col min="1028" max="1030" width="18.08984375" style="133" customWidth="1"/>
    <col min="1031" max="1031" width="12" style="133" customWidth="1"/>
    <col min="1032" max="1032" width="16.08984375" style="133" customWidth="1"/>
    <col min="1033" max="1279" width="8.81640625" style="133"/>
    <col min="1280" max="1280" width="6" style="133" customWidth="1"/>
    <col min="1281" max="1281" width="34.08984375" style="133" customWidth="1"/>
    <col min="1282" max="1282" width="18.08984375" style="133" customWidth="1"/>
    <col min="1283" max="1283" width="18.6328125" style="133" bestFit="1" customWidth="1"/>
    <col min="1284" max="1286" width="18.08984375" style="133" customWidth="1"/>
    <col min="1287" max="1287" width="12" style="133" customWidth="1"/>
    <col min="1288" max="1288" width="16.08984375" style="133" customWidth="1"/>
    <col min="1289" max="1535" width="8.81640625" style="133"/>
    <col min="1536" max="1536" width="6" style="133" customWidth="1"/>
    <col min="1537" max="1537" width="34.08984375" style="133" customWidth="1"/>
    <col min="1538" max="1538" width="18.08984375" style="133" customWidth="1"/>
    <col min="1539" max="1539" width="18.6328125" style="133" bestFit="1" customWidth="1"/>
    <col min="1540" max="1542" width="18.08984375" style="133" customWidth="1"/>
    <col min="1543" max="1543" width="12" style="133" customWidth="1"/>
    <col min="1544" max="1544" width="16.08984375" style="133" customWidth="1"/>
    <col min="1545" max="1791" width="8.81640625" style="133"/>
    <col min="1792" max="1792" width="6" style="133" customWidth="1"/>
    <col min="1793" max="1793" width="34.08984375" style="133" customWidth="1"/>
    <col min="1794" max="1794" width="18.08984375" style="133" customWidth="1"/>
    <col min="1795" max="1795" width="18.6328125" style="133" bestFit="1" customWidth="1"/>
    <col min="1796" max="1798" width="18.08984375" style="133" customWidth="1"/>
    <col min="1799" max="1799" width="12" style="133" customWidth="1"/>
    <col min="1800" max="1800" width="16.08984375" style="133" customWidth="1"/>
    <col min="1801" max="2047" width="8.81640625" style="133"/>
    <col min="2048" max="2048" width="6" style="133" customWidth="1"/>
    <col min="2049" max="2049" width="34.08984375" style="133" customWidth="1"/>
    <col min="2050" max="2050" width="18.08984375" style="133" customWidth="1"/>
    <col min="2051" max="2051" width="18.6328125" style="133" bestFit="1" customWidth="1"/>
    <col min="2052" max="2054" width="18.08984375" style="133" customWidth="1"/>
    <col min="2055" max="2055" width="12" style="133" customWidth="1"/>
    <col min="2056" max="2056" width="16.08984375" style="133" customWidth="1"/>
    <col min="2057" max="2303" width="8.81640625" style="133"/>
    <col min="2304" max="2304" width="6" style="133" customWidth="1"/>
    <col min="2305" max="2305" width="34.08984375" style="133" customWidth="1"/>
    <col min="2306" max="2306" width="18.08984375" style="133" customWidth="1"/>
    <col min="2307" max="2307" width="18.6328125" style="133" bestFit="1" customWidth="1"/>
    <col min="2308" max="2310" width="18.08984375" style="133" customWidth="1"/>
    <col min="2311" max="2311" width="12" style="133" customWidth="1"/>
    <col min="2312" max="2312" width="16.08984375" style="133" customWidth="1"/>
    <col min="2313" max="2559" width="8.81640625" style="133"/>
    <col min="2560" max="2560" width="6" style="133" customWidth="1"/>
    <col min="2561" max="2561" width="34.08984375" style="133" customWidth="1"/>
    <col min="2562" max="2562" width="18.08984375" style="133" customWidth="1"/>
    <col min="2563" max="2563" width="18.6328125" style="133" bestFit="1" customWidth="1"/>
    <col min="2564" max="2566" width="18.08984375" style="133" customWidth="1"/>
    <col min="2567" max="2567" width="12" style="133" customWidth="1"/>
    <col min="2568" max="2568" width="16.08984375" style="133" customWidth="1"/>
    <col min="2569" max="2815" width="8.81640625" style="133"/>
    <col min="2816" max="2816" width="6" style="133" customWidth="1"/>
    <col min="2817" max="2817" width="34.08984375" style="133" customWidth="1"/>
    <col min="2818" max="2818" width="18.08984375" style="133" customWidth="1"/>
    <col min="2819" max="2819" width="18.6328125" style="133" bestFit="1" customWidth="1"/>
    <col min="2820" max="2822" width="18.08984375" style="133" customWidth="1"/>
    <col min="2823" max="2823" width="12" style="133" customWidth="1"/>
    <col min="2824" max="2824" width="16.08984375" style="133" customWidth="1"/>
    <col min="2825" max="3071" width="8.81640625" style="133"/>
    <col min="3072" max="3072" width="6" style="133" customWidth="1"/>
    <col min="3073" max="3073" width="34.08984375" style="133" customWidth="1"/>
    <col min="3074" max="3074" width="18.08984375" style="133" customWidth="1"/>
    <col min="3075" max="3075" width="18.6328125" style="133" bestFit="1" customWidth="1"/>
    <col min="3076" max="3078" width="18.08984375" style="133" customWidth="1"/>
    <col min="3079" max="3079" width="12" style="133" customWidth="1"/>
    <col min="3080" max="3080" width="16.08984375" style="133" customWidth="1"/>
    <col min="3081" max="3327" width="8.81640625" style="133"/>
    <col min="3328" max="3328" width="6" style="133" customWidth="1"/>
    <col min="3329" max="3329" width="34.08984375" style="133" customWidth="1"/>
    <col min="3330" max="3330" width="18.08984375" style="133" customWidth="1"/>
    <col min="3331" max="3331" width="18.6328125" style="133" bestFit="1" customWidth="1"/>
    <col min="3332" max="3334" width="18.08984375" style="133" customWidth="1"/>
    <col min="3335" max="3335" width="12" style="133" customWidth="1"/>
    <col min="3336" max="3336" width="16.08984375" style="133" customWidth="1"/>
    <col min="3337" max="3583" width="8.81640625" style="133"/>
    <col min="3584" max="3584" width="6" style="133" customWidth="1"/>
    <col min="3585" max="3585" width="34.08984375" style="133" customWidth="1"/>
    <col min="3586" max="3586" width="18.08984375" style="133" customWidth="1"/>
    <col min="3587" max="3587" width="18.6328125" style="133" bestFit="1" customWidth="1"/>
    <col min="3588" max="3590" width="18.08984375" style="133" customWidth="1"/>
    <col min="3591" max="3591" width="12" style="133" customWidth="1"/>
    <col min="3592" max="3592" width="16.08984375" style="133" customWidth="1"/>
    <col min="3593" max="3839" width="8.81640625" style="133"/>
    <col min="3840" max="3840" width="6" style="133" customWidth="1"/>
    <col min="3841" max="3841" width="34.08984375" style="133" customWidth="1"/>
    <col min="3842" max="3842" width="18.08984375" style="133" customWidth="1"/>
    <col min="3843" max="3843" width="18.6328125" style="133" bestFit="1" customWidth="1"/>
    <col min="3844" max="3846" width="18.08984375" style="133" customWidth="1"/>
    <col min="3847" max="3847" width="12" style="133" customWidth="1"/>
    <col min="3848" max="3848" width="16.08984375" style="133" customWidth="1"/>
    <col min="3849" max="4095" width="8.81640625" style="133"/>
    <col min="4096" max="4096" width="6" style="133" customWidth="1"/>
    <col min="4097" max="4097" width="34.08984375" style="133" customWidth="1"/>
    <col min="4098" max="4098" width="18.08984375" style="133" customWidth="1"/>
    <col min="4099" max="4099" width="18.6328125" style="133" bestFit="1" customWidth="1"/>
    <col min="4100" max="4102" width="18.08984375" style="133" customWidth="1"/>
    <col min="4103" max="4103" width="12" style="133" customWidth="1"/>
    <col min="4104" max="4104" width="16.08984375" style="133" customWidth="1"/>
    <col min="4105" max="4351" width="8.81640625" style="133"/>
    <col min="4352" max="4352" width="6" style="133" customWidth="1"/>
    <col min="4353" max="4353" width="34.08984375" style="133" customWidth="1"/>
    <col min="4354" max="4354" width="18.08984375" style="133" customWidth="1"/>
    <col min="4355" max="4355" width="18.6328125" style="133" bestFit="1" customWidth="1"/>
    <col min="4356" max="4358" width="18.08984375" style="133" customWidth="1"/>
    <col min="4359" max="4359" width="12" style="133" customWidth="1"/>
    <col min="4360" max="4360" width="16.08984375" style="133" customWidth="1"/>
    <col min="4361" max="4607" width="8.81640625" style="133"/>
    <col min="4608" max="4608" width="6" style="133" customWidth="1"/>
    <col min="4609" max="4609" width="34.08984375" style="133" customWidth="1"/>
    <col min="4610" max="4610" width="18.08984375" style="133" customWidth="1"/>
    <col min="4611" max="4611" width="18.6328125" style="133" bestFit="1" customWidth="1"/>
    <col min="4612" max="4614" width="18.08984375" style="133" customWidth="1"/>
    <col min="4615" max="4615" width="12" style="133" customWidth="1"/>
    <col min="4616" max="4616" width="16.08984375" style="133" customWidth="1"/>
    <col min="4617" max="4863" width="8.81640625" style="133"/>
    <col min="4864" max="4864" width="6" style="133" customWidth="1"/>
    <col min="4865" max="4865" width="34.08984375" style="133" customWidth="1"/>
    <col min="4866" max="4866" width="18.08984375" style="133" customWidth="1"/>
    <col min="4867" max="4867" width="18.6328125" style="133" bestFit="1" customWidth="1"/>
    <col min="4868" max="4870" width="18.08984375" style="133" customWidth="1"/>
    <col min="4871" max="4871" width="12" style="133" customWidth="1"/>
    <col min="4872" max="4872" width="16.08984375" style="133" customWidth="1"/>
    <col min="4873" max="5119" width="8.81640625" style="133"/>
    <col min="5120" max="5120" width="6" style="133" customWidth="1"/>
    <col min="5121" max="5121" width="34.08984375" style="133" customWidth="1"/>
    <col min="5122" max="5122" width="18.08984375" style="133" customWidth="1"/>
    <col min="5123" max="5123" width="18.6328125" style="133" bestFit="1" customWidth="1"/>
    <col min="5124" max="5126" width="18.08984375" style="133" customWidth="1"/>
    <col min="5127" max="5127" width="12" style="133" customWidth="1"/>
    <col min="5128" max="5128" width="16.08984375" style="133" customWidth="1"/>
    <col min="5129" max="5375" width="8.81640625" style="133"/>
    <col min="5376" max="5376" width="6" style="133" customWidth="1"/>
    <col min="5377" max="5377" width="34.08984375" style="133" customWidth="1"/>
    <col min="5378" max="5378" width="18.08984375" style="133" customWidth="1"/>
    <col min="5379" max="5379" width="18.6328125" style="133" bestFit="1" customWidth="1"/>
    <col min="5380" max="5382" width="18.08984375" style="133" customWidth="1"/>
    <col min="5383" max="5383" width="12" style="133" customWidth="1"/>
    <col min="5384" max="5384" width="16.08984375" style="133" customWidth="1"/>
    <col min="5385" max="5631" width="8.81640625" style="133"/>
    <col min="5632" max="5632" width="6" style="133" customWidth="1"/>
    <col min="5633" max="5633" width="34.08984375" style="133" customWidth="1"/>
    <col min="5634" max="5634" width="18.08984375" style="133" customWidth="1"/>
    <col min="5635" max="5635" width="18.6328125" style="133" bestFit="1" customWidth="1"/>
    <col min="5636" max="5638" width="18.08984375" style="133" customWidth="1"/>
    <col min="5639" max="5639" width="12" style="133" customWidth="1"/>
    <col min="5640" max="5640" width="16.08984375" style="133" customWidth="1"/>
    <col min="5641" max="5887" width="8.81640625" style="133"/>
    <col min="5888" max="5888" width="6" style="133" customWidth="1"/>
    <col min="5889" max="5889" width="34.08984375" style="133" customWidth="1"/>
    <col min="5890" max="5890" width="18.08984375" style="133" customWidth="1"/>
    <col min="5891" max="5891" width="18.6328125" style="133" bestFit="1" customWidth="1"/>
    <col min="5892" max="5894" width="18.08984375" style="133" customWidth="1"/>
    <col min="5895" max="5895" width="12" style="133" customWidth="1"/>
    <col min="5896" max="5896" width="16.08984375" style="133" customWidth="1"/>
    <col min="5897" max="6143" width="8.81640625" style="133"/>
    <col min="6144" max="6144" width="6" style="133" customWidth="1"/>
    <col min="6145" max="6145" width="34.08984375" style="133" customWidth="1"/>
    <col min="6146" max="6146" width="18.08984375" style="133" customWidth="1"/>
    <col min="6147" max="6147" width="18.6328125" style="133" bestFit="1" customWidth="1"/>
    <col min="6148" max="6150" width="18.08984375" style="133" customWidth="1"/>
    <col min="6151" max="6151" width="12" style="133" customWidth="1"/>
    <col min="6152" max="6152" width="16.08984375" style="133" customWidth="1"/>
    <col min="6153" max="6399" width="8.81640625" style="133"/>
    <col min="6400" max="6400" width="6" style="133" customWidth="1"/>
    <col min="6401" max="6401" width="34.08984375" style="133" customWidth="1"/>
    <col min="6402" max="6402" width="18.08984375" style="133" customWidth="1"/>
    <col min="6403" max="6403" width="18.6328125" style="133" bestFit="1" customWidth="1"/>
    <col min="6404" max="6406" width="18.08984375" style="133" customWidth="1"/>
    <col min="6407" max="6407" width="12" style="133" customWidth="1"/>
    <col min="6408" max="6408" width="16.08984375" style="133" customWidth="1"/>
    <col min="6409" max="6655" width="8.81640625" style="133"/>
    <col min="6656" max="6656" width="6" style="133" customWidth="1"/>
    <col min="6657" max="6657" width="34.08984375" style="133" customWidth="1"/>
    <col min="6658" max="6658" width="18.08984375" style="133" customWidth="1"/>
    <col min="6659" max="6659" width="18.6328125" style="133" bestFit="1" customWidth="1"/>
    <col min="6660" max="6662" width="18.08984375" style="133" customWidth="1"/>
    <col min="6663" max="6663" width="12" style="133" customWidth="1"/>
    <col min="6664" max="6664" width="16.08984375" style="133" customWidth="1"/>
    <col min="6665" max="6911" width="8.81640625" style="133"/>
    <col min="6912" max="6912" width="6" style="133" customWidth="1"/>
    <col min="6913" max="6913" width="34.08984375" style="133" customWidth="1"/>
    <col min="6914" max="6914" width="18.08984375" style="133" customWidth="1"/>
    <col min="6915" max="6915" width="18.6328125" style="133" bestFit="1" customWidth="1"/>
    <col min="6916" max="6918" width="18.08984375" style="133" customWidth="1"/>
    <col min="6919" max="6919" width="12" style="133" customWidth="1"/>
    <col min="6920" max="6920" width="16.08984375" style="133" customWidth="1"/>
    <col min="6921" max="7167" width="8.81640625" style="133"/>
    <col min="7168" max="7168" width="6" style="133" customWidth="1"/>
    <col min="7169" max="7169" width="34.08984375" style="133" customWidth="1"/>
    <col min="7170" max="7170" width="18.08984375" style="133" customWidth="1"/>
    <col min="7171" max="7171" width="18.6328125" style="133" bestFit="1" customWidth="1"/>
    <col min="7172" max="7174" width="18.08984375" style="133" customWidth="1"/>
    <col min="7175" max="7175" width="12" style="133" customWidth="1"/>
    <col min="7176" max="7176" width="16.08984375" style="133" customWidth="1"/>
    <col min="7177" max="7423" width="8.81640625" style="133"/>
    <col min="7424" max="7424" width="6" style="133" customWidth="1"/>
    <col min="7425" max="7425" width="34.08984375" style="133" customWidth="1"/>
    <col min="7426" max="7426" width="18.08984375" style="133" customWidth="1"/>
    <col min="7427" max="7427" width="18.6328125" style="133" bestFit="1" customWidth="1"/>
    <col min="7428" max="7430" width="18.08984375" style="133" customWidth="1"/>
    <col min="7431" max="7431" width="12" style="133" customWidth="1"/>
    <col min="7432" max="7432" width="16.08984375" style="133" customWidth="1"/>
    <col min="7433" max="7679" width="8.81640625" style="133"/>
    <col min="7680" max="7680" width="6" style="133" customWidth="1"/>
    <col min="7681" max="7681" width="34.08984375" style="133" customWidth="1"/>
    <col min="7682" max="7682" width="18.08984375" style="133" customWidth="1"/>
    <col min="7683" max="7683" width="18.6328125" style="133" bestFit="1" customWidth="1"/>
    <col min="7684" max="7686" width="18.08984375" style="133" customWidth="1"/>
    <col min="7687" max="7687" width="12" style="133" customWidth="1"/>
    <col min="7688" max="7688" width="16.08984375" style="133" customWidth="1"/>
    <col min="7689" max="7935" width="8.81640625" style="133"/>
    <col min="7936" max="7936" width="6" style="133" customWidth="1"/>
    <col min="7937" max="7937" width="34.08984375" style="133" customWidth="1"/>
    <col min="7938" max="7938" width="18.08984375" style="133" customWidth="1"/>
    <col min="7939" max="7939" width="18.6328125" style="133" bestFit="1" customWidth="1"/>
    <col min="7940" max="7942" width="18.08984375" style="133" customWidth="1"/>
    <col min="7943" max="7943" width="12" style="133" customWidth="1"/>
    <col min="7944" max="7944" width="16.08984375" style="133" customWidth="1"/>
    <col min="7945" max="8191" width="8.81640625" style="133"/>
    <col min="8192" max="8192" width="6" style="133" customWidth="1"/>
    <col min="8193" max="8193" width="34.08984375" style="133" customWidth="1"/>
    <col min="8194" max="8194" width="18.08984375" style="133" customWidth="1"/>
    <col min="8195" max="8195" width="18.6328125" style="133" bestFit="1" customWidth="1"/>
    <col min="8196" max="8198" width="18.08984375" style="133" customWidth="1"/>
    <col min="8199" max="8199" width="12" style="133" customWidth="1"/>
    <col min="8200" max="8200" width="16.08984375" style="133" customWidth="1"/>
    <col min="8201" max="8447" width="8.81640625" style="133"/>
    <col min="8448" max="8448" width="6" style="133" customWidth="1"/>
    <col min="8449" max="8449" width="34.08984375" style="133" customWidth="1"/>
    <col min="8450" max="8450" width="18.08984375" style="133" customWidth="1"/>
    <col min="8451" max="8451" width="18.6328125" style="133" bestFit="1" customWidth="1"/>
    <col min="8452" max="8454" width="18.08984375" style="133" customWidth="1"/>
    <col min="8455" max="8455" width="12" style="133" customWidth="1"/>
    <col min="8456" max="8456" width="16.08984375" style="133" customWidth="1"/>
    <col min="8457" max="8703" width="8.81640625" style="133"/>
    <col min="8704" max="8704" width="6" style="133" customWidth="1"/>
    <col min="8705" max="8705" width="34.08984375" style="133" customWidth="1"/>
    <col min="8706" max="8706" width="18.08984375" style="133" customWidth="1"/>
    <col min="8707" max="8707" width="18.6328125" style="133" bestFit="1" customWidth="1"/>
    <col min="8708" max="8710" width="18.08984375" style="133" customWidth="1"/>
    <col min="8711" max="8711" width="12" style="133" customWidth="1"/>
    <col min="8712" max="8712" width="16.08984375" style="133" customWidth="1"/>
    <col min="8713" max="8959" width="8.81640625" style="133"/>
    <col min="8960" max="8960" width="6" style="133" customWidth="1"/>
    <col min="8961" max="8961" width="34.08984375" style="133" customWidth="1"/>
    <col min="8962" max="8962" width="18.08984375" style="133" customWidth="1"/>
    <col min="8963" max="8963" width="18.6328125" style="133" bestFit="1" customWidth="1"/>
    <col min="8964" max="8966" width="18.08984375" style="133" customWidth="1"/>
    <col min="8967" max="8967" width="12" style="133" customWidth="1"/>
    <col min="8968" max="8968" width="16.08984375" style="133" customWidth="1"/>
    <col min="8969" max="9215" width="8.81640625" style="133"/>
    <col min="9216" max="9216" width="6" style="133" customWidth="1"/>
    <col min="9217" max="9217" width="34.08984375" style="133" customWidth="1"/>
    <col min="9218" max="9218" width="18.08984375" style="133" customWidth="1"/>
    <col min="9219" max="9219" width="18.6328125" style="133" bestFit="1" customWidth="1"/>
    <col min="9220" max="9222" width="18.08984375" style="133" customWidth="1"/>
    <col min="9223" max="9223" width="12" style="133" customWidth="1"/>
    <col min="9224" max="9224" width="16.08984375" style="133" customWidth="1"/>
    <col min="9225" max="9471" width="8.81640625" style="133"/>
    <col min="9472" max="9472" width="6" style="133" customWidth="1"/>
    <col min="9473" max="9473" width="34.08984375" style="133" customWidth="1"/>
    <col min="9474" max="9474" width="18.08984375" style="133" customWidth="1"/>
    <col min="9475" max="9475" width="18.6328125" style="133" bestFit="1" customWidth="1"/>
    <col min="9476" max="9478" width="18.08984375" style="133" customWidth="1"/>
    <col min="9479" max="9479" width="12" style="133" customWidth="1"/>
    <col min="9480" max="9480" width="16.08984375" style="133" customWidth="1"/>
    <col min="9481" max="9727" width="8.81640625" style="133"/>
    <col min="9728" max="9728" width="6" style="133" customWidth="1"/>
    <col min="9729" max="9729" width="34.08984375" style="133" customWidth="1"/>
    <col min="9730" max="9730" width="18.08984375" style="133" customWidth="1"/>
    <col min="9731" max="9731" width="18.6328125" style="133" bestFit="1" customWidth="1"/>
    <col min="9732" max="9734" width="18.08984375" style="133" customWidth="1"/>
    <col min="9735" max="9735" width="12" style="133" customWidth="1"/>
    <col min="9736" max="9736" width="16.08984375" style="133" customWidth="1"/>
    <col min="9737" max="9983" width="8.81640625" style="133"/>
    <col min="9984" max="9984" width="6" style="133" customWidth="1"/>
    <col min="9985" max="9985" width="34.08984375" style="133" customWidth="1"/>
    <col min="9986" max="9986" width="18.08984375" style="133" customWidth="1"/>
    <col min="9987" max="9987" width="18.6328125" style="133" bestFit="1" customWidth="1"/>
    <col min="9988" max="9990" width="18.08984375" style="133" customWidth="1"/>
    <col min="9991" max="9991" width="12" style="133" customWidth="1"/>
    <col min="9992" max="9992" width="16.08984375" style="133" customWidth="1"/>
    <col min="9993" max="10239" width="8.81640625" style="133"/>
    <col min="10240" max="10240" width="6" style="133" customWidth="1"/>
    <col min="10241" max="10241" width="34.08984375" style="133" customWidth="1"/>
    <col min="10242" max="10242" width="18.08984375" style="133" customWidth="1"/>
    <col min="10243" max="10243" width="18.6328125" style="133" bestFit="1" customWidth="1"/>
    <col min="10244" max="10246" width="18.08984375" style="133" customWidth="1"/>
    <col min="10247" max="10247" width="12" style="133" customWidth="1"/>
    <col min="10248" max="10248" width="16.08984375" style="133" customWidth="1"/>
    <col min="10249" max="10495" width="8.81640625" style="133"/>
    <col min="10496" max="10496" width="6" style="133" customWidth="1"/>
    <col min="10497" max="10497" width="34.08984375" style="133" customWidth="1"/>
    <col min="10498" max="10498" width="18.08984375" style="133" customWidth="1"/>
    <col min="10499" max="10499" width="18.6328125" style="133" bestFit="1" customWidth="1"/>
    <col min="10500" max="10502" width="18.08984375" style="133" customWidth="1"/>
    <col min="10503" max="10503" width="12" style="133" customWidth="1"/>
    <col min="10504" max="10504" width="16.08984375" style="133" customWidth="1"/>
    <col min="10505" max="10751" width="8.81640625" style="133"/>
    <col min="10752" max="10752" width="6" style="133" customWidth="1"/>
    <col min="10753" max="10753" width="34.08984375" style="133" customWidth="1"/>
    <col min="10754" max="10754" width="18.08984375" style="133" customWidth="1"/>
    <col min="10755" max="10755" width="18.6328125" style="133" bestFit="1" customWidth="1"/>
    <col min="10756" max="10758" width="18.08984375" style="133" customWidth="1"/>
    <col min="10759" max="10759" width="12" style="133" customWidth="1"/>
    <col min="10760" max="10760" width="16.08984375" style="133" customWidth="1"/>
    <col min="10761" max="11007" width="8.81640625" style="133"/>
    <col min="11008" max="11008" width="6" style="133" customWidth="1"/>
    <col min="11009" max="11009" width="34.08984375" style="133" customWidth="1"/>
    <col min="11010" max="11010" width="18.08984375" style="133" customWidth="1"/>
    <col min="11011" max="11011" width="18.6328125" style="133" bestFit="1" customWidth="1"/>
    <col min="11012" max="11014" width="18.08984375" style="133" customWidth="1"/>
    <col min="11015" max="11015" width="12" style="133" customWidth="1"/>
    <col min="11016" max="11016" width="16.08984375" style="133" customWidth="1"/>
    <col min="11017" max="11263" width="8.81640625" style="133"/>
    <col min="11264" max="11264" width="6" style="133" customWidth="1"/>
    <col min="11265" max="11265" width="34.08984375" style="133" customWidth="1"/>
    <col min="11266" max="11266" width="18.08984375" style="133" customWidth="1"/>
    <col min="11267" max="11267" width="18.6328125" style="133" bestFit="1" customWidth="1"/>
    <col min="11268" max="11270" width="18.08984375" style="133" customWidth="1"/>
    <col min="11271" max="11271" width="12" style="133" customWidth="1"/>
    <col min="11272" max="11272" width="16.08984375" style="133" customWidth="1"/>
    <col min="11273" max="11519" width="8.81640625" style="133"/>
    <col min="11520" max="11520" width="6" style="133" customWidth="1"/>
    <col min="11521" max="11521" width="34.08984375" style="133" customWidth="1"/>
    <col min="11522" max="11522" width="18.08984375" style="133" customWidth="1"/>
    <col min="11523" max="11523" width="18.6328125" style="133" bestFit="1" customWidth="1"/>
    <col min="11524" max="11526" width="18.08984375" style="133" customWidth="1"/>
    <col min="11527" max="11527" width="12" style="133" customWidth="1"/>
    <col min="11528" max="11528" width="16.08984375" style="133" customWidth="1"/>
    <col min="11529" max="11775" width="8.81640625" style="133"/>
    <col min="11776" max="11776" width="6" style="133" customWidth="1"/>
    <col min="11777" max="11777" width="34.08984375" style="133" customWidth="1"/>
    <col min="11778" max="11778" width="18.08984375" style="133" customWidth="1"/>
    <col min="11779" max="11779" width="18.6328125" style="133" bestFit="1" customWidth="1"/>
    <col min="11780" max="11782" width="18.08984375" style="133" customWidth="1"/>
    <col min="11783" max="11783" width="12" style="133" customWidth="1"/>
    <col min="11784" max="11784" width="16.08984375" style="133" customWidth="1"/>
    <col min="11785" max="12031" width="8.81640625" style="133"/>
    <col min="12032" max="12032" width="6" style="133" customWidth="1"/>
    <col min="12033" max="12033" width="34.08984375" style="133" customWidth="1"/>
    <col min="12034" max="12034" width="18.08984375" style="133" customWidth="1"/>
    <col min="12035" max="12035" width="18.6328125" style="133" bestFit="1" customWidth="1"/>
    <col min="12036" max="12038" width="18.08984375" style="133" customWidth="1"/>
    <col min="12039" max="12039" width="12" style="133" customWidth="1"/>
    <col min="12040" max="12040" width="16.08984375" style="133" customWidth="1"/>
    <col min="12041" max="12287" width="8.81640625" style="133"/>
    <col min="12288" max="12288" width="6" style="133" customWidth="1"/>
    <col min="12289" max="12289" width="34.08984375" style="133" customWidth="1"/>
    <col min="12290" max="12290" width="18.08984375" style="133" customWidth="1"/>
    <col min="12291" max="12291" width="18.6328125" style="133" bestFit="1" customWidth="1"/>
    <col min="12292" max="12294" width="18.08984375" style="133" customWidth="1"/>
    <col min="12295" max="12295" width="12" style="133" customWidth="1"/>
    <col min="12296" max="12296" width="16.08984375" style="133" customWidth="1"/>
    <col min="12297" max="12543" width="8.81640625" style="133"/>
    <col min="12544" max="12544" width="6" style="133" customWidth="1"/>
    <col min="12545" max="12545" width="34.08984375" style="133" customWidth="1"/>
    <col min="12546" max="12546" width="18.08984375" style="133" customWidth="1"/>
    <col min="12547" max="12547" width="18.6328125" style="133" bestFit="1" customWidth="1"/>
    <col min="12548" max="12550" width="18.08984375" style="133" customWidth="1"/>
    <col min="12551" max="12551" width="12" style="133" customWidth="1"/>
    <col min="12552" max="12552" width="16.08984375" style="133" customWidth="1"/>
    <col min="12553" max="12799" width="8.81640625" style="133"/>
    <col min="12800" max="12800" width="6" style="133" customWidth="1"/>
    <col min="12801" max="12801" width="34.08984375" style="133" customWidth="1"/>
    <col min="12802" max="12802" width="18.08984375" style="133" customWidth="1"/>
    <col min="12803" max="12803" width="18.6328125" style="133" bestFit="1" customWidth="1"/>
    <col min="12804" max="12806" width="18.08984375" style="133" customWidth="1"/>
    <col min="12807" max="12807" width="12" style="133" customWidth="1"/>
    <col min="12808" max="12808" width="16.08984375" style="133" customWidth="1"/>
    <col min="12809" max="13055" width="8.81640625" style="133"/>
    <col min="13056" max="13056" width="6" style="133" customWidth="1"/>
    <col min="13057" max="13057" width="34.08984375" style="133" customWidth="1"/>
    <col min="13058" max="13058" width="18.08984375" style="133" customWidth="1"/>
    <col min="13059" max="13059" width="18.6328125" style="133" bestFit="1" customWidth="1"/>
    <col min="13060" max="13062" width="18.08984375" style="133" customWidth="1"/>
    <col min="13063" max="13063" width="12" style="133" customWidth="1"/>
    <col min="13064" max="13064" width="16.08984375" style="133" customWidth="1"/>
    <col min="13065" max="13311" width="8.81640625" style="133"/>
    <col min="13312" max="13312" width="6" style="133" customWidth="1"/>
    <col min="13313" max="13313" width="34.08984375" style="133" customWidth="1"/>
    <col min="13314" max="13314" width="18.08984375" style="133" customWidth="1"/>
    <col min="13315" max="13315" width="18.6328125" style="133" bestFit="1" customWidth="1"/>
    <col min="13316" max="13318" width="18.08984375" style="133" customWidth="1"/>
    <col min="13319" max="13319" width="12" style="133" customWidth="1"/>
    <col min="13320" max="13320" width="16.08984375" style="133" customWidth="1"/>
    <col min="13321" max="13567" width="8.81640625" style="133"/>
    <col min="13568" max="13568" width="6" style="133" customWidth="1"/>
    <col min="13569" max="13569" width="34.08984375" style="133" customWidth="1"/>
    <col min="13570" max="13570" width="18.08984375" style="133" customWidth="1"/>
    <col min="13571" max="13571" width="18.6328125" style="133" bestFit="1" customWidth="1"/>
    <col min="13572" max="13574" width="18.08984375" style="133" customWidth="1"/>
    <col min="13575" max="13575" width="12" style="133" customWidth="1"/>
    <col min="13576" max="13576" width="16.08984375" style="133" customWidth="1"/>
    <col min="13577" max="13823" width="8.81640625" style="133"/>
    <col min="13824" max="13824" width="6" style="133" customWidth="1"/>
    <col min="13825" max="13825" width="34.08984375" style="133" customWidth="1"/>
    <col min="13826" max="13826" width="18.08984375" style="133" customWidth="1"/>
    <col min="13827" max="13827" width="18.6328125" style="133" bestFit="1" customWidth="1"/>
    <col min="13828" max="13830" width="18.08984375" style="133" customWidth="1"/>
    <col min="13831" max="13831" width="12" style="133" customWidth="1"/>
    <col min="13832" max="13832" width="16.08984375" style="133" customWidth="1"/>
    <col min="13833" max="14079" width="8.81640625" style="133"/>
    <col min="14080" max="14080" width="6" style="133" customWidth="1"/>
    <col min="14081" max="14081" width="34.08984375" style="133" customWidth="1"/>
    <col min="14082" max="14082" width="18.08984375" style="133" customWidth="1"/>
    <col min="14083" max="14083" width="18.6328125" style="133" bestFit="1" customWidth="1"/>
    <col min="14084" max="14086" width="18.08984375" style="133" customWidth="1"/>
    <col min="14087" max="14087" width="12" style="133" customWidth="1"/>
    <col min="14088" max="14088" width="16.08984375" style="133" customWidth="1"/>
    <col min="14089" max="14335" width="8.81640625" style="133"/>
    <col min="14336" max="14336" width="6" style="133" customWidth="1"/>
    <col min="14337" max="14337" width="34.08984375" style="133" customWidth="1"/>
    <col min="14338" max="14338" width="18.08984375" style="133" customWidth="1"/>
    <col min="14339" max="14339" width="18.6328125" style="133" bestFit="1" customWidth="1"/>
    <col min="14340" max="14342" width="18.08984375" style="133" customWidth="1"/>
    <col min="14343" max="14343" width="12" style="133" customWidth="1"/>
    <col min="14344" max="14344" width="16.08984375" style="133" customWidth="1"/>
    <col min="14345" max="14591" width="8.81640625" style="133"/>
    <col min="14592" max="14592" width="6" style="133" customWidth="1"/>
    <col min="14593" max="14593" width="34.08984375" style="133" customWidth="1"/>
    <col min="14594" max="14594" width="18.08984375" style="133" customWidth="1"/>
    <col min="14595" max="14595" width="18.6328125" style="133" bestFit="1" customWidth="1"/>
    <col min="14596" max="14598" width="18.08984375" style="133" customWidth="1"/>
    <col min="14599" max="14599" width="12" style="133" customWidth="1"/>
    <col min="14600" max="14600" width="16.08984375" style="133" customWidth="1"/>
    <col min="14601" max="14847" width="8.81640625" style="133"/>
    <col min="14848" max="14848" width="6" style="133" customWidth="1"/>
    <col min="14849" max="14849" width="34.08984375" style="133" customWidth="1"/>
    <col min="14850" max="14850" width="18.08984375" style="133" customWidth="1"/>
    <col min="14851" max="14851" width="18.6328125" style="133" bestFit="1" customWidth="1"/>
    <col min="14852" max="14854" width="18.08984375" style="133" customWidth="1"/>
    <col min="14855" max="14855" width="12" style="133" customWidth="1"/>
    <col min="14856" max="14856" width="16.08984375" style="133" customWidth="1"/>
    <col min="14857" max="15103" width="8.81640625" style="133"/>
    <col min="15104" max="15104" width="6" style="133" customWidth="1"/>
    <col min="15105" max="15105" width="34.08984375" style="133" customWidth="1"/>
    <col min="15106" max="15106" width="18.08984375" style="133" customWidth="1"/>
    <col min="15107" max="15107" width="18.6328125" style="133" bestFit="1" customWidth="1"/>
    <col min="15108" max="15110" width="18.08984375" style="133" customWidth="1"/>
    <col min="15111" max="15111" width="12" style="133" customWidth="1"/>
    <col min="15112" max="15112" width="16.08984375" style="133" customWidth="1"/>
    <col min="15113" max="15359" width="8.81640625" style="133"/>
    <col min="15360" max="15360" width="6" style="133" customWidth="1"/>
    <col min="15361" max="15361" width="34.08984375" style="133" customWidth="1"/>
    <col min="15362" max="15362" width="18.08984375" style="133" customWidth="1"/>
    <col min="15363" max="15363" width="18.6328125" style="133" bestFit="1" customWidth="1"/>
    <col min="15364" max="15366" width="18.08984375" style="133" customWidth="1"/>
    <col min="15367" max="15367" width="12" style="133" customWidth="1"/>
    <col min="15368" max="15368" width="16.08984375" style="133" customWidth="1"/>
    <col min="15369" max="15615" width="8.81640625" style="133"/>
    <col min="15616" max="15616" width="6" style="133" customWidth="1"/>
    <col min="15617" max="15617" width="34.08984375" style="133" customWidth="1"/>
    <col min="15618" max="15618" width="18.08984375" style="133" customWidth="1"/>
    <col min="15619" max="15619" width="18.6328125" style="133" bestFit="1" customWidth="1"/>
    <col min="15620" max="15622" width="18.08984375" style="133" customWidth="1"/>
    <col min="15623" max="15623" width="12" style="133" customWidth="1"/>
    <col min="15624" max="15624" width="16.08984375" style="133" customWidth="1"/>
    <col min="15625" max="15871" width="8.81640625" style="133"/>
    <col min="15872" max="15872" width="6" style="133" customWidth="1"/>
    <col min="15873" max="15873" width="34.08984375" style="133" customWidth="1"/>
    <col min="15874" max="15874" width="18.08984375" style="133" customWidth="1"/>
    <col min="15875" max="15875" width="18.6328125" style="133" bestFit="1" customWidth="1"/>
    <col min="15876" max="15878" width="18.08984375" style="133" customWidth="1"/>
    <col min="15879" max="15879" width="12" style="133" customWidth="1"/>
    <col min="15880" max="15880" width="16.08984375" style="133" customWidth="1"/>
    <col min="15881" max="16127" width="8.81640625" style="133"/>
    <col min="16128" max="16128" width="6" style="133" customWidth="1"/>
    <col min="16129" max="16129" width="34.08984375" style="133" customWidth="1"/>
    <col min="16130" max="16130" width="18.08984375" style="133" customWidth="1"/>
    <col min="16131" max="16131" width="18.6328125" style="133" bestFit="1" customWidth="1"/>
    <col min="16132" max="16134" width="18.08984375" style="133" customWidth="1"/>
    <col min="16135" max="16135" width="12" style="133" customWidth="1"/>
    <col min="16136" max="16136" width="16.08984375" style="133" customWidth="1"/>
    <col min="16137" max="16384" width="8.81640625" style="133"/>
  </cols>
  <sheetData>
    <row r="1" spans="2:9" ht="26">
      <c r="C1" s="170" t="s">
        <v>741</v>
      </c>
      <c r="E1" s="170"/>
      <c r="F1" s="170"/>
      <c r="G1" s="170"/>
    </row>
    <row r="2" spans="2:9" ht="21">
      <c r="B2" s="134"/>
      <c r="F2" s="167"/>
      <c r="G2" s="100"/>
    </row>
    <row r="3" spans="2:9" ht="24.5" customHeight="1">
      <c r="D3" s="171" t="s">
        <v>588</v>
      </c>
      <c r="E3" s="171" t="s">
        <v>587</v>
      </c>
      <c r="F3" s="171" t="s">
        <v>576</v>
      </c>
      <c r="G3" s="171" t="s">
        <v>737</v>
      </c>
    </row>
    <row r="4" spans="2:9" ht="13.5" customHeight="1">
      <c r="D4" s="136">
        <f>F4/E4</f>
        <v>6484697.5603505122</v>
      </c>
      <c r="E4" s="136">
        <f>SUBTOTAL(3,D7:D491)</f>
        <v>485</v>
      </c>
      <c r="F4" s="136">
        <f>SUBTOTAL(9,F7:F4911)</f>
        <v>3145078316.7699986</v>
      </c>
      <c r="G4" s="136">
        <f>SUBTOTAL(9,G7:G491)</f>
        <v>26258</v>
      </c>
    </row>
    <row r="5" spans="2:9" ht="9" customHeight="1">
      <c r="B5"/>
      <c r="C5"/>
      <c r="D5"/>
      <c r="E5"/>
      <c r="F5" s="168"/>
      <c r="G5"/>
    </row>
    <row r="6" spans="2:9" ht="35" customHeight="1">
      <c r="B6" s="137" t="s">
        <v>694</v>
      </c>
      <c r="C6" s="137" t="s">
        <v>738</v>
      </c>
      <c r="D6" s="137" t="s">
        <v>735</v>
      </c>
      <c r="E6" s="137" t="s">
        <v>695</v>
      </c>
      <c r="F6" s="137" t="s">
        <v>576</v>
      </c>
      <c r="G6" s="174" t="s">
        <v>736</v>
      </c>
      <c r="H6" s="153"/>
      <c r="I6" s="154"/>
    </row>
    <row r="7" spans="2:9">
      <c r="B7" s="138" t="s">
        <v>164</v>
      </c>
      <c r="C7" s="139" t="s">
        <v>548</v>
      </c>
      <c r="D7" s="169" t="s">
        <v>139</v>
      </c>
      <c r="E7" s="140" t="s">
        <v>547</v>
      </c>
      <c r="F7" s="175">
        <v>2235440.1</v>
      </c>
      <c r="G7" s="139">
        <v>55</v>
      </c>
      <c r="H7" s="153"/>
      <c r="I7" s="154"/>
    </row>
    <row r="8" spans="2:9">
      <c r="B8" s="138" t="s">
        <v>165</v>
      </c>
      <c r="C8" s="139" t="s">
        <v>548</v>
      </c>
      <c r="D8" s="169" t="s">
        <v>116</v>
      </c>
      <c r="E8" s="140" t="s">
        <v>547</v>
      </c>
      <c r="F8" s="176">
        <v>2939707.36</v>
      </c>
      <c r="G8" s="139">
        <v>77</v>
      </c>
      <c r="H8" s="153"/>
      <c r="I8" s="154"/>
    </row>
    <row r="9" spans="2:9">
      <c r="B9" s="138" t="s">
        <v>166</v>
      </c>
      <c r="C9" s="139" t="s">
        <v>548</v>
      </c>
      <c r="D9" s="169" t="s">
        <v>109</v>
      </c>
      <c r="E9" s="140" t="s">
        <v>549</v>
      </c>
      <c r="F9" s="176">
        <v>4213676.03</v>
      </c>
      <c r="G9" s="139">
        <v>50</v>
      </c>
      <c r="H9" s="153"/>
      <c r="I9" s="154"/>
    </row>
    <row r="10" spans="2:9">
      <c r="B10" s="138" t="s">
        <v>167</v>
      </c>
      <c r="C10" s="139" t="s">
        <v>548</v>
      </c>
      <c r="D10" s="169" t="s">
        <v>116</v>
      </c>
      <c r="E10" s="140" t="s">
        <v>549</v>
      </c>
      <c r="F10" s="176">
        <v>2122055.2699999996</v>
      </c>
      <c r="G10" s="139">
        <v>24</v>
      </c>
      <c r="H10" s="153"/>
      <c r="I10" s="154"/>
    </row>
    <row r="11" spans="2:9">
      <c r="B11" s="138" t="s">
        <v>168</v>
      </c>
      <c r="C11" s="139" t="s">
        <v>550</v>
      </c>
      <c r="D11" s="169" t="s">
        <v>28</v>
      </c>
      <c r="E11" s="140" t="s">
        <v>547</v>
      </c>
      <c r="F11" s="176">
        <v>2574360.14</v>
      </c>
      <c r="G11" s="139">
        <v>35</v>
      </c>
      <c r="H11" s="153"/>
      <c r="I11" s="154"/>
    </row>
    <row r="12" spans="2:9">
      <c r="B12" s="138" t="s">
        <v>169</v>
      </c>
      <c r="C12" s="139" t="s">
        <v>550</v>
      </c>
      <c r="D12" s="169" t="s">
        <v>115</v>
      </c>
      <c r="E12" s="140" t="s">
        <v>549</v>
      </c>
      <c r="F12" s="176">
        <v>14676955.949999999</v>
      </c>
      <c r="G12" s="139">
        <v>100</v>
      </c>
      <c r="H12" s="153"/>
      <c r="I12" s="154"/>
    </row>
    <row r="13" spans="2:9">
      <c r="B13" s="138" t="s">
        <v>170</v>
      </c>
      <c r="C13" s="139" t="s">
        <v>548</v>
      </c>
      <c r="D13" s="169" t="s">
        <v>120</v>
      </c>
      <c r="E13" s="140" t="s">
        <v>547</v>
      </c>
      <c r="F13" s="176">
        <v>2019720.4500000002</v>
      </c>
      <c r="G13" s="139">
        <v>37</v>
      </c>
      <c r="H13" s="153"/>
      <c r="I13" s="154"/>
    </row>
    <row r="14" spans="2:9">
      <c r="B14" s="138" t="s">
        <v>598</v>
      </c>
      <c r="C14" s="139" t="s">
        <v>548</v>
      </c>
      <c r="D14" s="169" t="s">
        <v>120</v>
      </c>
      <c r="E14" s="140" t="s">
        <v>547</v>
      </c>
      <c r="F14" s="176">
        <v>4644069.1099999994</v>
      </c>
      <c r="G14" s="139">
        <v>58</v>
      </c>
      <c r="H14" s="153"/>
      <c r="I14" s="154"/>
    </row>
    <row r="15" spans="2:9">
      <c r="B15" s="138" t="s">
        <v>171</v>
      </c>
      <c r="C15" s="139" t="s">
        <v>548</v>
      </c>
      <c r="D15" s="169" t="s">
        <v>120</v>
      </c>
      <c r="E15" s="140" t="s">
        <v>547</v>
      </c>
      <c r="F15" s="176">
        <v>4743612.04</v>
      </c>
      <c r="G15" s="139">
        <v>83</v>
      </c>
      <c r="H15" s="153"/>
      <c r="I15" s="154"/>
    </row>
    <row r="16" spans="2:9">
      <c r="B16" s="138" t="s">
        <v>172</v>
      </c>
      <c r="C16" s="139" t="s">
        <v>550</v>
      </c>
      <c r="D16" s="169" t="s">
        <v>105</v>
      </c>
      <c r="E16" s="140" t="s">
        <v>549</v>
      </c>
      <c r="F16" s="176">
        <v>1653353.4800000002</v>
      </c>
      <c r="G16" s="139">
        <v>42</v>
      </c>
      <c r="H16" s="153"/>
      <c r="I16" s="154"/>
    </row>
    <row r="17" spans="2:9">
      <c r="B17" s="138" t="s">
        <v>173</v>
      </c>
      <c r="C17" s="139" t="s">
        <v>548</v>
      </c>
      <c r="D17" s="169" t="s">
        <v>107</v>
      </c>
      <c r="E17" s="140" t="s">
        <v>547</v>
      </c>
      <c r="F17" s="176">
        <v>10262346.049999999</v>
      </c>
      <c r="G17" s="139">
        <v>80</v>
      </c>
      <c r="H17" s="153"/>
      <c r="I17" s="154"/>
    </row>
    <row r="18" spans="2:9">
      <c r="B18" s="138" t="s">
        <v>174</v>
      </c>
      <c r="C18" s="139" t="s">
        <v>548</v>
      </c>
      <c r="D18" s="169" t="s">
        <v>147</v>
      </c>
      <c r="E18" s="140" t="s">
        <v>549</v>
      </c>
      <c r="F18" s="176"/>
      <c r="G18" s="139">
        <v>0</v>
      </c>
      <c r="H18" s="153"/>
      <c r="I18" s="154"/>
    </row>
    <row r="19" spans="2:9">
      <c r="B19" s="138" t="s">
        <v>175</v>
      </c>
      <c r="C19" s="139" t="s">
        <v>550</v>
      </c>
      <c r="D19" s="169" t="s">
        <v>148</v>
      </c>
      <c r="E19" s="140" t="s">
        <v>547</v>
      </c>
      <c r="F19" s="176">
        <v>712872.27</v>
      </c>
      <c r="G19" s="139">
        <v>34</v>
      </c>
      <c r="H19" s="153"/>
      <c r="I19" s="154"/>
    </row>
    <row r="20" spans="2:9">
      <c r="B20" s="138" t="s">
        <v>599</v>
      </c>
      <c r="C20" s="139" t="s">
        <v>550</v>
      </c>
      <c r="D20" s="169" t="s">
        <v>161</v>
      </c>
      <c r="E20" s="140" t="s">
        <v>547</v>
      </c>
      <c r="F20" s="176">
        <v>5412193.8900000006</v>
      </c>
      <c r="G20" s="139">
        <v>55</v>
      </c>
      <c r="H20" s="153"/>
      <c r="I20" s="154"/>
    </row>
    <row r="21" spans="2:9">
      <c r="B21" s="138" t="s">
        <v>176</v>
      </c>
      <c r="C21" s="139" t="s">
        <v>548</v>
      </c>
      <c r="D21" s="169" t="s">
        <v>130</v>
      </c>
      <c r="E21" s="140" t="s">
        <v>549</v>
      </c>
      <c r="F21" s="176">
        <v>10436027.6</v>
      </c>
      <c r="G21" s="139">
        <v>50</v>
      </c>
      <c r="H21" s="153"/>
      <c r="I21" s="154"/>
    </row>
    <row r="22" spans="2:9">
      <c r="B22" s="138" t="s">
        <v>177</v>
      </c>
      <c r="C22" s="139" t="s">
        <v>550</v>
      </c>
      <c r="D22" s="169" t="s">
        <v>108</v>
      </c>
      <c r="E22" s="140" t="s">
        <v>549</v>
      </c>
      <c r="F22" s="176">
        <v>1677669.0899999999</v>
      </c>
      <c r="G22" s="139">
        <v>23</v>
      </c>
      <c r="H22" s="153"/>
      <c r="I22" s="154"/>
    </row>
    <row r="23" spans="2:9">
      <c r="B23" s="138" t="s">
        <v>178</v>
      </c>
      <c r="C23" s="139" t="s">
        <v>550</v>
      </c>
      <c r="D23" s="169" t="s">
        <v>117</v>
      </c>
      <c r="E23" s="140" t="s">
        <v>547</v>
      </c>
      <c r="F23" s="176">
        <v>3208428.42</v>
      </c>
      <c r="G23" s="139">
        <v>30</v>
      </c>
      <c r="H23" s="153"/>
      <c r="I23" s="154"/>
    </row>
    <row r="24" spans="2:9">
      <c r="B24" s="138" t="s">
        <v>179</v>
      </c>
      <c r="C24" s="139" t="s">
        <v>550</v>
      </c>
      <c r="D24" s="169" t="s">
        <v>138</v>
      </c>
      <c r="E24" s="140" t="s">
        <v>547</v>
      </c>
      <c r="F24" s="176">
        <v>1256002.29</v>
      </c>
      <c r="G24" s="139">
        <v>30</v>
      </c>
      <c r="H24" s="153"/>
      <c r="I24" s="154"/>
    </row>
    <row r="25" spans="2:9">
      <c r="B25" s="138" t="s">
        <v>180</v>
      </c>
      <c r="C25" s="139" t="s">
        <v>550</v>
      </c>
      <c r="D25" s="169" t="s">
        <v>110</v>
      </c>
      <c r="E25" s="140" t="s">
        <v>547</v>
      </c>
      <c r="F25" s="176">
        <v>2764431.16</v>
      </c>
      <c r="G25" s="139">
        <v>26</v>
      </c>
      <c r="H25" s="153"/>
      <c r="I25" s="154"/>
    </row>
    <row r="26" spans="2:9">
      <c r="B26" s="138" t="s">
        <v>181</v>
      </c>
      <c r="C26" s="139" t="s">
        <v>550</v>
      </c>
      <c r="D26" s="169" t="s">
        <v>110</v>
      </c>
      <c r="E26" s="140" t="s">
        <v>547</v>
      </c>
      <c r="F26" s="176">
        <v>1008890.19</v>
      </c>
      <c r="G26" s="139">
        <v>15</v>
      </c>
      <c r="H26" s="153"/>
      <c r="I26" s="154"/>
    </row>
    <row r="27" spans="2:9">
      <c r="B27" s="138" t="s">
        <v>600</v>
      </c>
      <c r="C27" s="139" t="s">
        <v>550</v>
      </c>
      <c r="D27" s="169" t="s">
        <v>110</v>
      </c>
      <c r="E27" s="140" t="s">
        <v>547</v>
      </c>
      <c r="F27" s="176">
        <v>7507393.9199999999</v>
      </c>
      <c r="G27" s="139">
        <v>51</v>
      </c>
      <c r="H27" s="153"/>
      <c r="I27" s="154"/>
    </row>
    <row r="28" spans="2:9">
      <c r="B28" s="138" t="s">
        <v>182</v>
      </c>
      <c r="C28" s="139" t="s">
        <v>548</v>
      </c>
      <c r="D28" s="169" t="s">
        <v>32</v>
      </c>
      <c r="E28" s="140" t="s">
        <v>549</v>
      </c>
      <c r="F28" s="176">
        <v>5004669.08</v>
      </c>
      <c r="G28" s="139">
        <v>32</v>
      </c>
      <c r="H28" s="153"/>
      <c r="I28" s="154"/>
    </row>
    <row r="29" spans="2:9">
      <c r="B29" s="138" t="s">
        <v>183</v>
      </c>
      <c r="C29" s="139" t="s">
        <v>548</v>
      </c>
      <c r="D29" s="169" t="s">
        <v>144</v>
      </c>
      <c r="E29" s="140" t="s">
        <v>549</v>
      </c>
      <c r="F29" s="176">
        <v>5193283.96</v>
      </c>
      <c r="G29" s="139">
        <v>45</v>
      </c>
      <c r="H29" s="153"/>
      <c r="I29" s="154"/>
    </row>
    <row r="30" spans="2:9">
      <c r="B30" s="138" t="s">
        <v>186</v>
      </c>
      <c r="C30" s="139" t="s">
        <v>550</v>
      </c>
      <c r="D30" s="169" t="s">
        <v>96</v>
      </c>
      <c r="E30" s="140" t="s">
        <v>547</v>
      </c>
      <c r="F30" s="176">
        <v>6439408.75</v>
      </c>
      <c r="G30" s="139">
        <v>50</v>
      </c>
      <c r="H30" s="153"/>
      <c r="I30" s="154"/>
    </row>
    <row r="31" spans="2:9">
      <c r="B31" s="138" t="s">
        <v>184</v>
      </c>
      <c r="C31" s="139" t="s">
        <v>550</v>
      </c>
      <c r="D31" s="169" t="s">
        <v>96</v>
      </c>
      <c r="E31" s="140" t="s">
        <v>547</v>
      </c>
      <c r="F31" s="176">
        <v>3130594.92</v>
      </c>
      <c r="G31" s="139">
        <v>31</v>
      </c>
      <c r="H31" s="153"/>
      <c r="I31" s="154"/>
    </row>
    <row r="32" spans="2:9">
      <c r="B32" s="138" t="s">
        <v>185</v>
      </c>
      <c r="C32" s="139" t="s">
        <v>550</v>
      </c>
      <c r="D32" s="169" t="s">
        <v>96</v>
      </c>
      <c r="E32" s="140" t="s">
        <v>547</v>
      </c>
      <c r="F32" s="176">
        <v>3179026.66</v>
      </c>
      <c r="G32" s="139">
        <v>54</v>
      </c>
      <c r="H32" s="153"/>
      <c r="I32" s="154"/>
    </row>
    <row r="33" spans="2:9">
      <c r="B33" s="138" t="s">
        <v>188</v>
      </c>
      <c r="C33" s="139" t="s">
        <v>548</v>
      </c>
      <c r="D33" s="169" t="s">
        <v>140</v>
      </c>
      <c r="E33" s="140" t="s">
        <v>549</v>
      </c>
      <c r="F33" s="176">
        <v>7363294.96</v>
      </c>
      <c r="G33" s="139">
        <v>45</v>
      </c>
      <c r="H33" s="153"/>
      <c r="I33" s="154"/>
    </row>
    <row r="34" spans="2:9">
      <c r="B34" s="138" t="s">
        <v>189</v>
      </c>
      <c r="C34" s="139" t="s">
        <v>548</v>
      </c>
      <c r="D34" s="169" t="s">
        <v>125</v>
      </c>
      <c r="E34" s="140" t="s">
        <v>549</v>
      </c>
      <c r="F34" s="176">
        <v>10836522.52</v>
      </c>
      <c r="G34" s="139">
        <v>80</v>
      </c>
      <c r="H34" s="153"/>
      <c r="I34" s="154"/>
    </row>
    <row r="35" spans="2:9">
      <c r="B35" s="138" t="s">
        <v>191</v>
      </c>
      <c r="C35" s="139" t="s">
        <v>550</v>
      </c>
      <c r="D35" s="169" t="s">
        <v>117</v>
      </c>
      <c r="E35" s="140" t="s">
        <v>547</v>
      </c>
      <c r="F35" s="176">
        <v>552870.9</v>
      </c>
      <c r="G35" s="139">
        <v>28</v>
      </c>
      <c r="H35" s="153"/>
      <c r="I35" s="154"/>
    </row>
    <row r="36" spans="2:9">
      <c r="B36" s="138" t="s">
        <v>190</v>
      </c>
      <c r="C36" s="139" t="s">
        <v>548</v>
      </c>
      <c r="D36" s="169" t="s">
        <v>144</v>
      </c>
      <c r="E36" s="140" t="s">
        <v>549</v>
      </c>
      <c r="F36" s="176">
        <v>3520973.05</v>
      </c>
      <c r="G36" s="139">
        <v>40</v>
      </c>
      <c r="H36" s="153"/>
      <c r="I36" s="154"/>
    </row>
    <row r="37" spans="2:9">
      <c r="B37" s="138" t="s">
        <v>192</v>
      </c>
      <c r="C37" s="139" t="s">
        <v>550</v>
      </c>
      <c r="D37" s="169" t="s">
        <v>101</v>
      </c>
      <c r="E37" s="140" t="s">
        <v>547</v>
      </c>
      <c r="F37" s="176">
        <v>2613553.14</v>
      </c>
      <c r="G37" s="139">
        <v>50</v>
      </c>
      <c r="H37" s="153"/>
      <c r="I37" s="154"/>
    </row>
    <row r="38" spans="2:9">
      <c r="B38" s="138" t="s">
        <v>193</v>
      </c>
      <c r="C38" s="139" t="s">
        <v>550</v>
      </c>
      <c r="D38" s="169" t="s">
        <v>101</v>
      </c>
      <c r="E38" s="140" t="s">
        <v>547</v>
      </c>
      <c r="F38" s="176">
        <v>954784.78</v>
      </c>
      <c r="G38" s="139">
        <v>25</v>
      </c>
      <c r="H38" s="153"/>
      <c r="I38" s="154"/>
    </row>
    <row r="39" spans="2:9">
      <c r="B39" s="138" t="s">
        <v>602</v>
      </c>
      <c r="C39" s="139" t="s">
        <v>550</v>
      </c>
      <c r="D39" s="169" t="s">
        <v>115</v>
      </c>
      <c r="E39" s="140" t="s">
        <v>547</v>
      </c>
      <c r="F39" s="176">
        <v>10596574.399999999</v>
      </c>
      <c r="G39" s="139">
        <v>83</v>
      </c>
      <c r="H39" s="153"/>
      <c r="I39" s="154"/>
    </row>
    <row r="40" spans="2:9">
      <c r="B40" s="138" t="s">
        <v>194</v>
      </c>
      <c r="C40" s="139" t="s">
        <v>550</v>
      </c>
      <c r="D40" s="169" t="s">
        <v>115</v>
      </c>
      <c r="E40" s="140" t="s">
        <v>547</v>
      </c>
      <c r="F40" s="176">
        <v>6273392.0500000007</v>
      </c>
      <c r="G40" s="139">
        <v>105</v>
      </c>
      <c r="H40" s="153"/>
      <c r="I40" s="154"/>
    </row>
    <row r="41" spans="2:9">
      <c r="B41" s="138" t="s">
        <v>603</v>
      </c>
      <c r="C41" s="139" t="s">
        <v>548</v>
      </c>
      <c r="D41" s="169" t="s">
        <v>112</v>
      </c>
      <c r="E41" s="140" t="s">
        <v>547</v>
      </c>
      <c r="F41" s="176">
        <v>10633586.48</v>
      </c>
      <c r="G41" s="139">
        <v>90</v>
      </c>
      <c r="H41" s="153"/>
      <c r="I41" s="154"/>
    </row>
    <row r="42" spans="2:9">
      <c r="B42" s="138" t="s">
        <v>196</v>
      </c>
      <c r="C42" s="139" t="s">
        <v>548</v>
      </c>
      <c r="D42" s="169" t="s">
        <v>107</v>
      </c>
      <c r="E42" s="140" t="s">
        <v>549</v>
      </c>
      <c r="F42" s="176">
        <v>10649525.280000001</v>
      </c>
      <c r="G42" s="139">
        <v>63</v>
      </c>
      <c r="H42" s="153"/>
      <c r="I42" s="154"/>
    </row>
    <row r="43" spans="2:9">
      <c r="B43" s="138" t="s">
        <v>197</v>
      </c>
      <c r="C43" s="139" t="s">
        <v>548</v>
      </c>
      <c r="D43" s="169" t="s">
        <v>107</v>
      </c>
      <c r="E43" s="140" t="s">
        <v>549</v>
      </c>
      <c r="F43" s="176">
        <v>22398230.84</v>
      </c>
      <c r="G43" s="139">
        <v>105</v>
      </c>
      <c r="H43" s="153"/>
      <c r="I43" s="154"/>
    </row>
    <row r="44" spans="2:9">
      <c r="B44" s="138" t="s">
        <v>198</v>
      </c>
      <c r="C44" s="139" t="s">
        <v>550</v>
      </c>
      <c r="D44" s="169" t="s">
        <v>160</v>
      </c>
      <c r="E44" s="140" t="s">
        <v>549</v>
      </c>
      <c r="F44" s="176">
        <v>2051092.99</v>
      </c>
      <c r="G44" s="139">
        <v>30</v>
      </c>
      <c r="H44" s="153"/>
      <c r="I44" s="154"/>
    </row>
    <row r="45" spans="2:9">
      <c r="B45" s="138" t="s">
        <v>199</v>
      </c>
      <c r="C45" s="139" t="s">
        <v>548</v>
      </c>
      <c r="D45" s="169" t="s">
        <v>31</v>
      </c>
      <c r="E45" s="140" t="s">
        <v>549</v>
      </c>
      <c r="F45" s="176">
        <v>8405772.6600000001</v>
      </c>
      <c r="G45" s="139">
        <v>66</v>
      </c>
      <c r="H45" s="153"/>
      <c r="I45" s="154"/>
    </row>
    <row r="46" spans="2:9">
      <c r="B46" s="138" t="s">
        <v>200</v>
      </c>
      <c r="C46" s="139" t="s">
        <v>550</v>
      </c>
      <c r="D46" s="169" t="s">
        <v>160</v>
      </c>
      <c r="E46" s="140" t="s">
        <v>549</v>
      </c>
      <c r="F46" s="176">
        <v>2239124.2999999998</v>
      </c>
      <c r="G46" s="139">
        <v>40</v>
      </c>
      <c r="H46" s="153"/>
      <c r="I46" s="154"/>
    </row>
    <row r="47" spans="2:9">
      <c r="B47" s="138" t="s">
        <v>696</v>
      </c>
      <c r="C47" s="139" t="s">
        <v>548</v>
      </c>
      <c r="D47" s="169" t="s">
        <v>144</v>
      </c>
      <c r="E47" s="140" t="s">
        <v>549</v>
      </c>
      <c r="F47" s="176">
        <v>2699893.92</v>
      </c>
      <c r="G47" s="139">
        <v>32</v>
      </c>
      <c r="H47" s="153"/>
      <c r="I47" s="154"/>
    </row>
    <row r="48" spans="2:9">
      <c r="B48" s="138" t="s">
        <v>201</v>
      </c>
      <c r="C48" s="139" t="s">
        <v>550</v>
      </c>
      <c r="D48" s="169" t="s">
        <v>96</v>
      </c>
      <c r="E48" s="140" t="s">
        <v>549</v>
      </c>
      <c r="F48" s="176">
        <v>7219721.8399999999</v>
      </c>
      <c r="G48" s="139">
        <v>40</v>
      </c>
      <c r="H48" s="153"/>
      <c r="I48" s="154"/>
    </row>
    <row r="49" spans="2:9">
      <c r="B49" s="138" t="s">
        <v>604</v>
      </c>
      <c r="C49" s="139" t="s">
        <v>548</v>
      </c>
      <c r="D49" s="169" t="s">
        <v>125</v>
      </c>
      <c r="E49" s="140" t="s">
        <v>549</v>
      </c>
      <c r="F49" s="176">
        <v>10940485.550000001</v>
      </c>
      <c r="G49" s="139">
        <v>80</v>
      </c>
      <c r="H49" s="153"/>
      <c r="I49" s="154"/>
    </row>
    <row r="50" spans="2:9">
      <c r="B50" s="138" t="s">
        <v>202</v>
      </c>
      <c r="C50" s="139" t="s">
        <v>548</v>
      </c>
      <c r="D50" s="169" t="s">
        <v>112</v>
      </c>
      <c r="E50" s="140" t="s">
        <v>549</v>
      </c>
      <c r="F50" s="176">
        <v>8558053.6000000015</v>
      </c>
      <c r="G50" s="139">
        <v>75</v>
      </c>
      <c r="H50" s="153"/>
      <c r="I50" s="154"/>
    </row>
    <row r="51" spans="2:9">
      <c r="B51" s="138" t="s">
        <v>203</v>
      </c>
      <c r="C51" s="139" t="s">
        <v>548</v>
      </c>
      <c r="D51" s="169" t="s">
        <v>132</v>
      </c>
      <c r="E51" s="140" t="s">
        <v>549</v>
      </c>
      <c r="F51" s="176">
        <v>16235760.960000001</v>
      </c>
      <c r="G51" s="139">
        <v>99</v>
      </c>
      <c r="H51" s="153"/>
      <c r="I51" s="154"/>
    </row>
    <row r="52" spans="2:9">
      <c r="B52" s="138" t="s">
        <v>204</v>
      </c>
      <c r="C52" s="139" t="s">
        <v>548</v>
      </c>
      <c r="D52" s="169" t="s">
        <v>31</v>
      </c>
      <c r="E52" s="140" t="s">
        <v>547</v>
      </c>
      <c r="F52" s="176">
        <v>2824456.34</v>
      </c>
      <c r="G52" s="139">
        <v>39</v>
      </c>
      <c r="H52" s="153"/>
      <c r="I52" s="154"/>
    </row>
    <row r="53" spans="2:9">
      <c r="B53" s="138" t="s">
        <v>605</v>
      </c>
      <c r="C53" s="139" t="s">
        <v>548</v>
      </c>
      <c r="D53" s="169" t="s">
        <v>31</v>
      </c>
      <c r="E53" s="140" t="s">
        <v>547</v>
      </c>
      <c r="F53" s="176">
        <v>13505699.130000001</v>
      </c>
      <c r="G53" s="139">
        <v>103</v>
      </c>
      <c r="H53" s="153"/>
      <c r="I53" s="154"/>
    </row>
    <row r="54" spans="2:9">
      <c r="B54" s="138" t="s">
        <v>205</v>
      </c>
      <c r="C54" s="139" t="s">
        <v>548</v>
      </c>
      <c r="D54" s="169" t="s">
        <v>130</v>
      </c>
      <c r="E54" s="140" t="s">
        <v>549</v>
      </c>
      <c r="F54" s="176">
        <v>9141707.6999999993</v>
      </c>
      <c r="G54" s="139">
        <v>45</v>
      </c>
      <c r="H54" s="153"/>
      <c r="I54" s="154"/>
    </row>
    <row r="55" spans="2:9">
      <c r="B55" s="138" t="s">
        <v>206</v>
      </c>
      <c r="C55" s="139" t="s">
        <v>548</v>
      </c>
      <c r="D55" s="169" t="s">
        <v>153</v>
      </c>
      <c r="E55" s="140" t="s">
        <v>549</v>
      </c>
      <c r="F55" s="176">
        <v>14226117.689999999</v>
      </c>
      <c r="G55" s="139">
        <v>60</v>
      </c>
      <c r="H55" s="153"/>
      <c r="I55" s="154"/>
    </row>
    <row r="56" spans="2:9">
      <c r="B56" s="138" t="s">
        <v>596</v>
      </c>
      <c r="C56" s="139" t="s">
        <v>548</v>
      </c>
      <c r="D56" s="169" t="s">
        <v>100</v>
      </c>
      <c r="E56" s="140" t="s">
        <v>549</v>
      </c>
      <c r="F56" s="176">
        <v>4308187.3500000006</v>
      </c>
      <c r="G56" s="139">
        <v>48</v>
      </c>
      <c r="H56" s="153"/>
      <c r="I56" s="154"/>
    </row>
    <row r="57" spans="2:9">
      <c r="B57" s="138" t="s">
        <v>207</v>
      </c>
      <c r="C57" s="139" t="s">
        <v>548</v>
      </c>
      <c r="D57" s="169" t="s">
        <v>122</v>
      </c>
      <c r="E57" s="140" t="s">
        <v>547</v>
      </c>
      <c r="F57" s="176">
        <v>2228564.4900000002</v>
      </c>
      <c r="G57" s="139">
        <v>55</v>
      </c>
      <c r="H57" s="153"/>
      <c r="I57" s="154"/>
    </row>
    <row r="58" spans="2:9">
      <c r="B58" s="138" t="s">
        <v>208</v>
      </c>
      <c r="C58" s="139" t="s">
        <v>548</v>
      </c>
      <c r="D58" s="169" t="s">
        <v>139</v>
      </c>
      <c r="E58" s="140" t="s">
        <v>549</v>
      </c>
      <c r="F58" s="176">
        <v>5407219.3899999997</v>
      </c>
      <c r="G58" s="139">
        <v>35</v>
      </c>
      <c r="H58" s="153"/>
      <c r="I58" s="154"/>
    </row>
    <row r="59" spans="2:9">
      <c r="B59" s="138" t="s">
        <v>209</v>
      </c>
      <c r="C59" s="139" t="s">
        <v>548</v>
      </c>
      <c r="D59" s="169" t="s">
        <v>153</v>
      </c>
      <c r="E59" s="140" t="s">
        <v>549</v>
      </c>
      <c r="F59" s="176">
        <v>25627461.890000001</v>
      </c>
      <c r="G59" s="139">
        <v>96</v>
      </c>
      <c r="H59" s="153"/>
      <c r="I59" s="154"/>
    </row>
    <row r="60" spans="2:9">
      <c r="B60" s="138" t="s">
        <v>210</v>
      </c>
      <c r="C60" s="139" t="s">
        <v>548</v>
      </c>
      <c r="D60" s="169" t="s">
        <v>31</v>
      </c>
      <c r="E60" s="140" t="s">
        <v>549</v>
      </c>
      <c r="F60" s="176">
        <v>11126231.609999999</v>
      </c>
      <c r="G60" s="139">
        <v>72</v>
      </c>
      <c r="H60" s="153"/>
      <c r="I60" s="154"/>
    </row>
    <row r="61" spans="2:9">
      <c r="B61" s="138" t="s">
        <v>211</v>
      </c>
      <c r="C61" s="139" t="s">
        <v>548</v>
      </c>
      <c r="D61" s="169" t="s">
        <v>106</v>
      </c>
      <c r="E61" s="140" t="s">
        <v>547</v>
      </c>
      <c r="F61" s="176">
        <v>10892846.379999999</v>
      </c>
      <c r="G61" s="139">
        <v>105</v>
      </c>
      <c r="H61" s="153"/>
      <c r="I61" s="154"/>
    </row>
    <row r="62" spans="2:9">
      <c r="B62" s="138" t="s">
        <v>557</v>
      </c>
      <c r="C62" s="139" t="s">
        <v>548</v>
      </c>
      <c r="D62" s="169" t="s">
        <v>106</v>
      </c>
      <c r="E62" s="140" t="s">
        <v>549</v>
      </c>
      <c r="F62" s="176">
        <v>2786412.05</v>
      </c>
      <c r="G62" s="139">
        <v>40</v>
      </c>
      <c r="H62" s="153"/>
      <c r="I62" s="154"/>
    </row>
    <row r="63" spans="2:9">
      <c r="B63" s="138" t="s">
        <v>212</v>
      </c>
      <c r="C63" s="139" t="s">
        <v>548</v>
      </c>
      <c r="D63" s="169" t="s">
        <v>153</v>
      </c>
      <c r="E63" s="140" t="s">
        <v>547</v>
      </c>
      <c r="F63" s="176">
        <v>7621288.54</v>
      </c>
      <c r="G63" s="139">
        <v>75</v>
      </c>
      <c r="H63" s="153"/>
      <c r="I63" s="154"/>
    </row>
    <row r="64" spans="2:9">
      <c r="B64" s="138" t="s">
        <v>580</v>
      </c>
      <c r="C64" s="139" t="s">
        <v>548</v>
      </c>
      <c r="D64" s="169" t="s">
        <v>106</v>
      </c>
      <c r="E64" s="140" t="s">
        <v>549</v>
      </c>
      <c r="F64" s="176">
        <v>6876642.7000000002</v>
      </c>
      <c r="G64" s="139">
        <v>70</v>
      </c>
      <c r="H64" s="153"/>
      <c r="I64" s="154"/>
    </row>
    <row r="65" spans="2:9">
      <c r="B65" s="138" t="s">
        <v>213</v>
      </c>
      <c r="C65" s="139" t="s">
        <v>548</v>
      </c>
      <c r="D65" s="169" t="s">
        <v>112</v>
      </c>
      <c r="E65" s="140" t="s">
        <v>547</v>
      </c>
      <c r="F65" s="176">
        <v>10514704.02</v>
      </c>
      <c r="G65" s="139">
        <v>105</v>
      </c>
      <c r="H65" s="153"/>
      <c r="I65" s="154"/>
    </row>
    <row r="66" spans="2:9">
      <c r="B66" s="138" t="s">
        <v>606</v>
      </c>
      <c r="C66" s="139" t="s">
        <v>548</v>
      </c>
      <c r="D66" s="169" t="s">
        <v>112</v>
      </c>
      <c r="E66" s="140" t="s">
        <v>547</v>
      </c>
      <c r="F66" s="176">
        <v>2504649.12</v>
      </c>
      <c r="G66" s="139">
        <v>52</v>
      </c>
      <c r="H66" s="153"/>
      <c r="I66" s="154"/>
    </row>
    <row r="67" spans="2:9">
      <c r="B67" s="138" t="s">
        <v>697</v>
      </c>
      <c r="C67" s="139" t="s">
        <v>548</v>
      </c>
      <c r="D67" s="169" t="s">
        <v>132</v>
      </c>
      <c r="E67" s="140" t="s">
        <v>547</v>
      </c>
      <c r="F67" s="176">
        <v>13423345.110000001</v>
      </c>
      <c r="G67" s="139">
        <v>76</v>
      </c>
      <c r="H67" s="153"/>
      <c r="I67" s="154"/>
    </row>
    <row r="68" spans="2:9">
      <c r="B68" s="138" t="s">
        <v>214</v>
      </c>
      <c r="C68" s="139" t="s">
        <v>548</v>
      </c>
      <c r="D68" s="169" t="s">
        <v>136</v>
      </c>
      <c r="E68" s="140" t="s">
        <v>549</v>
      </c>
      <c r="F68" s="176">
        <v>12878889.510000002</v>
      </c>
      <c r="G68" s="139">
        <v>65</v>
      </c>
      <c r="H68" s="153"/>
      <c r="I68" s="154"/>
    </row>
    <row r="69" spans="2:9">
      <c r="B69" s="138" t="s">
        <v>215</v>
      </c>
      <c r="C69" s="139" t="s">
        <v>550</v>
      </c>
      <c r="D69" s="169" t="s">
        <v>161</v>
      </c>
      <c r="E69" s="140" t="s">
        <v>547</v>
      </c>
      <c r="F69" s="176">
        <v>1310887.31</v>
      </c>
      <c r="G69" s="139">
        <v>33</v>
      </c>
      <c r="H69" s="153"/>
      <c r="I69" s="154"/>
    </row>
    <row r="70" spans="2:9">
      <c r="B70" s="138" t="s">
        <v>216</v>
      </c>
      <c r="C70" s="139" t="s">
        <v>548</v>
      </c>
      <c r="D70" s="169" t="s">
        <v>124</v>
      </c>
      <c r="E70" s="140" t="s">
        <v>549</v>
      </c>
      <c r="F70" s="176">
        <v>5329253.5</v>
      </c>
      <c r="G70" s="139">
        <v>40</v>
      </c>
      <c r="H70" s="153"/>
      <c r="I70" s="154"/>
    </row>
    <row r="71" spans="2:9">
      <c r="B71" s="138" t="s">
        <v>607</v>
      </c>
      <c r="C71" s="139" t="s">
        <v>548</v>
      </c>
      <c r="D71" s="169" t="s">
        <v>124</v>
      </c>
      <c r="E71" s="140" t="s">
        <v>547</v>
      </c>
      <c r="F71" s="176">
        <v>2448912.37</v>
      </c>
      <c r="G71" s="139">
        <v>41</v>
      </c>
      <c r="H71" s="153"/>
      <c r="I71" s="154"/>
    </row>
    <row r="72" spans="2:9">
      <c r="B72" s="138" t="s">
        <v>730</v>
      </c>
      <c r="C72" s="139" t="s">
        <v>548</v>
      </c>
      <c r="D72" s="169" t="s">
        <v>129</v>
      </c>
      <c r="E72" s="140" t="s">
        <v>549</v>
      </c>
      <c r="F72" s="176">
        <v>7478771.8899999997</v>
      </c>
      <c r="G72" s="139">
        <v>50</v>
      </c>
      <c r="H72" s="153"/>
      <c r="I72" s="154"/>
    </row>
    <row r="73" spans="2:9">
      <c r="B73" s="138" t="s">
        <v>218</v>
      </c>
      <c r="C73" s="139" t="s">
        <v>548</v>
      </c>
      <c r="D73" s="169" t="s">
        <v>156</v>
      </c>
      <c r="E73" s="140" t="s">
        <v>547</v>
      </c>
      <c r="F73" s="176">
        <v>2118195.9699999997</v>
      </c>
      <c r="G73" s="139">
        <v>37</v>
      </c>
      <c r="H73" s="153"/>
      <c r="I73" s="154"/>
    </row>
    <row r="74" spans="2:9">
      <c r="B74" s="138" t="s">
        <v>219</v>
      </c>
      <c r="C74" s="139" t="s">
        <v>550</v>
      </c>
      <c r="D74" s="169" t="s">
        <v>108</v>
      </c>
      <c r="E74" s="140" t="s">
        <v>547</v>
      </c>
      <c r="F74" s="176">
        <v>1101312.83</v>
      </c>
      <c r="G74" s="139">
        <v>20</v>
      </c>
      <c r="H74" s="153"/>
      <c r="I74" s="154"/>
    </row>
    <row r="75" spans="2:9">
      <c r="B75" s="138" t="s">
        <v>220</v>
      </c>
      <c r="C75" s="139" t="s">
        <v>550</v>
      </c>
      <c r="D75" s="169" t="s">
        <v>115</v>
      </c>
      <c r="E75" s="140" t="s">
        <v>547</v>
      </c>
      <c r="F75" s="176">
        <v>2082620.96</v>
      </c>
      <c r="G75" s="139">
        <v>39</v>
      </c>
      <c r="H75" s="153"/>
      <c r="I75" s="154"/>
    </row>
    <row r="76" spans="2:9">
      <c r="B76" s="138" t="s">
        <v>221</v>
      </c>
      <c r="C76" s="139" t="s">
        <v>550</v>
      </c>
      <c r="D76" s="169" t="s">
        <v>158</v>
      </c>
      <c r="E76" s="140" t="s">
        <v>547</v>
      </c>
      <c r="F76" s="176">
        <v>4406491.5600000005</v>
      </c>
      <c r="G76" s="139">
        <v>38</v>
      </c>
      <c r="H76" s="153"/>
      <c r="I76" s="154"/>
    </row>
    <row r="77" spans="2:9">
      <c r="B77" s="138" t="s">
        <v>222</v>
      </c>
      <c r="C77" s="139" t="s">
        <v>548</v>
      </c>
      <c r="D77" s="169" t="s">
        <v>124</v>
      </c>
      <c r="E77" s="140" t="s">
        <v>547</v>
      </c>
      <c r="F77" s="176">
        <v>2179400.7300000004</v>
      </c>
      <c r="G77" s="139">
        <v>29</v>
      </c>
      <c r="H77" s="153"/>
      <c r="I77" s="154"/>
    </row>
    <row r="78" spans="2:9">
      <c r="B78" s="138" t="s">
        <v>608</v>
      </c>
      <c r="C78" s="139" t="s">
        <v>548</v>
      </c>
      <c r="D78" s="169" t="s">
        <v>136</v>
      </c>
      <c r="E78" s="140" t="s">
        <v>547</v>
      </c>
      <c r="F78" s="176">
        <v>4905083.2699999996</v>
      </c>
      <c r="G78" s="139">
        <v>71</v>
      </c>
      <c r="H78" s="153"/>
      <c r="I78" s="154"/>
    </row>
    <row r="79" spans="2:9">
      <c r="B79" s="138" t="s">
        <v>223</v>
      </c>
      <c r="C79" s="139" t="s">
        <v>550</v>
      </c>
      <c r="D79" s="169" t="s">
        <v>117</v>
      </c>
      <c r="E79" s="140" t="s">
        <v>547</v>
      </c>
      <c r="F79" s="176">
        <v>5341864.5600000005</v>
      </c>
      <c r="G79" s="139">
        <v>50</v>
      </c>
      <c r="H79" s="153"/>
      <c r="I79" s="154"/>
    </row>
    <row r="80" spans="2:9">
      <c r="B80" s="138" t="s">
        <v>224</v>
      </c>
      <c r="C80" s="139" t="s">
        <v>548</v>
      </c>
      <c r="D80" s="169" t="s">
        <v>132</v>
      </c>
      <c r="E80" s="140" t="s">
        <v>547</v>
      </c>
      <c r="F80" s="176">
        <v>16136082.289999999</v>
      </c>
      <c r="G80" s="139">
        <v>99</v>
      </c>
      <c r="H80" s="153"/>
      <c r="I80" s="154"/>
    </row>
    <row r="81" spans="2:9">
      <c r="B81" s="138" t="s">
        <v>698</v>
      </c>
      <c r="C81" s="139" t="s">
        <v>550</v>
      </c>
      <c r="D81" s="169" t="s">
        <v>110</v>
      </c>
      <c r="E81" s="140" t="s">
        <v>547</v>
      </c>
      <c r="F81" s="176">
        <v>3967963.0700000003</v>
      </c>
      <c r="G81" s="139">
        <v>37</v>
      </c>
      <c r="H81" s="153"/>
      <c r="I81" s="154"/>
    </row>
    <row r="82" spans="2:9">
      <c r="B82" s="138" t="s">
        <v>226</v>
      </c>
      <c r="C82" s="139" t="s">
        <v>548</v>
      </c>
      <c r="D82" s="169" t="s">
        <v>125</v>
      </c>
      <c r="E82" s="140" t="s">
        <v>549</v>
      </c>
      <c r="F82" s="176">
        <v>4649513.01</v>
      </c>
      <c r="G82" s="139">
        <v>40</v>
      </c>
      <c r="H82" s="153"/>
      <c r="I82" s="154"/>
    </row>
    <row r="83" spans="2:9">
      <c r="B83" s="138" t="s">
        <v>227</v>
      </c>
      <c r="C83" s="139" t="s">
        <v>550</v>
      </c>
      <c r="D83" s="169" t="s">
        <v>99</v>
      </c>
      <c r="E83" s="140" t="s">
        <v>547</v>
      </c>
      <c r="F83" s="176">
        <v>2211430.12</v>
      </c>
      <c r="G83" s="139">
        <v>30</v>
      </c>
      <c r="H83" s="153"/>
      <c r="I83" s="154"/>
    </row>
    <row r="84" spans="2:9">
      <c r="B84" s="138" t="s">
        <v>228</v>
      </c>
      <c r="C84" s="139" t="s">
        <v>548</v>
      </c>
      <c r="D84" s="169" t="s">
        <v>103</v>
      </c>
      <c r="E84" s="140" t="s">
        <v>547</v>
      </c>
      <c r="F84" s="176">
        <v>6009722.1100000003</v>
      </c>
      <c r="G84" s="139">
        <v>60</v>
      </c>
      <c r="H84" s="153"/>
      <c r="I84" s="154"/>
    </row>
    <row r="85" spans="2:9">
      <c r="B85" s="138" t="s">
        <v>229</v>
      </c>
      <c r="C85" s="139" t="s">
        <v>548</v>
      </c>
      <c r="D85" s="169" t="s">
        <v>131</v>
      </c>
      <c r="E85" s="140" t="s">
        <v>547</v>
      </c>
      <c r="F85" s="176">
        <v>8094976.4699999997</v>
      </c>
      <c r="G85" s="139">
        <v>105</v>
      </c>
      <c r="H85" s="153"/>
      <c r="I85" s="154"/>
    </row>
    <row r="86" spans="2:9">
      <c r="B86" s="138" t="s">
        <v>230</v>
      </c>
      <c r="C86" s="139" t="s">
        <v>548</v>
      </c>
      <c r="D86" s="169" t="s">
        <v>120</v>
      </c>
      <c r="E86" s="140" t="s">
        <v>547</v>
      </c>
      <c r="F86" s="176">
        <v>7823128.5299999993</v>
      </c>
      <c r="G86" s="139">
        <v>60</v>
      </c>
      <c r="H86" s="153"/>
      <c r="I86" s="154"/>
    </row>
    <row r="87" spans="2:9">
      <c r="B87" s="138" t="s">
        <v>231</v>
      </c>
      <c r="C87" s="139" t="s">
        <v>548</v>
      </c>
      <c r="D87" s="169" t="s">
        <v>130</v>
      </c>
      <c r="E87" s="140" t="s">
        <v>547</v>
      </c>
      <c r="F87" s="176">
        <v>4943170.63</v>
      </c>
      <c r="G87" s="139">
        <v>30</v>
      </c>
      <c r="H87" s="153"/>
      <c r="I87" s="154"/>
    </row>
    <row r="88" spans="2:9">
      <c r="B88" s="138" t="s">
        <v>574</v>
      </c>
      <c r="C88" s="139" t="s">
        <v>548</v>
      </c>
      <c r="D88" s="169" t="s">
        <v>106</v>
      </c>
      <c r="E88" s="140" t="s">
        <v>547</v>
      </c>
      <c r="F88" s="176">
        <v>7093820.9800000004</v>
      </c>
      <c r="G88" s="139">
        <v>60</v>
      </c>
      <c r="H88" s="153"/>
      <c r="I88" s="154"/>
    </row>
    <row r="89" spans="2:9">
      <c r="B89" s="138" t="s">
        <v>232</v>
      </c>
      <c r="C89" s="139" t="s">
        <v>548</v>
      </c>
      <c r="D89" s="169" t="s">
        <v>131</v>
      </c>
      <c r="E89" s="140" t="s">
        <v>547</v>
      </c>
      <c r="F89" s="176">
        <v>5103606.459999999</v>
      </c>
      <c r="G89" s="139">
        <v>82</v>
      </c>
      <c r="H89" s="153"/>
      <c r="I89" s="154"/>
    </row>
    <row r="90" spans="2:9">
      <c r="B90" s="138" t="s">
        <v>699</v>
      </c>
      <c r="C90" s="139" t="s">
        <v>548</v>
      </c>
      <c r="D90" s="169" t="s">
        <v>154</v>
      </c>
      <c r="E90" s="140" t="s">
        <v>547</v>
      </c>
      <c r="F90" s="176">
        <v>6162779.3399999999</v>
      </c>
      <c r="G90" s="139">
        <v>70</v>
      </c>
      <c r="H90" s="153"/>
      <c r="I90" s="154"/>
    </row>
    <row r="91" spans="2:9">
      <c r="B91" s="138" t="s">
        <v>233</v>
      </c>
      <c r="C91" s="139" t="s">
        <v>550</v>
      </c>
      <c r="D91" s="169" t="s">
        <v>20</v>
      </c>
      <c r="E91" s="140" t="s">
        <v>547</v>
      </c>
      <c r="F91" s="176">
        <v>1131289.8999999999</v>
      </c>
      <c r="G91" s="139">
        <v>28</v>
      </c>
      <c r="H91" s="153"/>
      <c r="I91" s="154"/>
    </row>
    <row r="92" spans="2:9">
      <c r="B92" s="138" t="s">
        <v>234</v>
      </c>
      <c r="C92" s="139" t="s">
        <v>550</v>
      </c>
      <c r="D92" s="169" t="s">
        <v>24</v>
      </c>
      <c r="E92" s="140" t="s">
        <v>549</v>
      </c>
      <c r="F92" s="176">
        <v>3919543.93</v>
      </c>
      <c r="G92" s="139">
        <v>43</v>
      </c>
      <c r="H92" s="153"/>
      <c r="I92" s="154"/>
    </row>
    <row r="93" spans="2:9">
      <c r="B93" s="138" t="s">
        <v>235</v>
      </c>
      <c r="C93" s="139" t="s">
        <v>550</v>
      </c>
      <c r="D93" s="169" t="s">
        <v>108</v>
      </c>
      <c r="E93" s="140" t="s">
        <v>547</v>
      </c>
      <c r="F93" s="176">
        <v>1221028.77</v>
      </c>
      <c r="G93" s="139">
        <v>20</v>
      </c>
      <c r="H93" s="153"/>
      <c r="I93" s="154"/>
    </row>
    <row r="94" spans="2:9">
      <c r="B94" s="138" t="s">
        <v>609</v>
      </c>
      <c r="C94" s="139" t="s">
        <v>550</v>
      </c>
      <c r="D94" s="169" t="s">
        <v>108</v>
      </c>
      <c r="E94" s="140" t="s">
        <v>547</v>
      </c>
      <c r="F94" s="176">
        <v>879852.14999999991</v>
      </c>
      <c r="G94" s="139">
        <v>25</v>
      </c>
      <c r="H94" s="153"/>
      <c r="I94" s="154"/>
    </row>
    <row r="95" spans="2:9">
      <c r="B95" s="138" t="s">
        <v>236</v>
      </c>
      <c r="C95" s="139" t="s">
        <v>550</v>
      </c>
      <c r="D95" s="169" t="s">
        <v>20</v>
      </c>
      <c r="E95" s="140" t="s">
        <v>549</v>
      </c>
      <c r="F95" s="176">
        <v>3020785.5100000002</v>
      </c>
      <c r="G95" s="139">
        <v>29</v>
      </c>
      <c r="H95" s="153"/>
      <c r="I95" s="154"/>
    </row>
    <row r="96" spans="2:9">
      <c r="B96" s="138" t="s">
        <v>237</v>
      </c>
      <c r="C96" s="139" t="s">
        <v>550</v>
      </c>
      <c r="D96" s="169" t="s">
        <v>149</v>
      </c>
      <c r="E96" s="140" t="s">
        <v>549</v>
      </c>
      <c r="F96" s="176">
        <v>2353200.83</v>
      </c>
      <c r="G96" s="139">
        <v>14</v>
      </c>
      <c r="H96" s="153"/>
      <c r="I96" s="154"/>
    </row>
    <row r="97" spans="2:9">
      <c r="B97" s="138" t="s">
        <v>238</v>
      </c>
      <c r="C97" s="139" t="s">
        <v>548</v>
      </c>
      <c r="D97" s="169" t="s">
        <v>154</v>
      </c>
      <c r="E97" s="140" t="s">
        <v>549</v>
      </c>
      <c r="F97" s="176">
        <v>18414658.329999998</v>
      </c>
      <c r="G97" s="139">
        <v>75</v>
      </c>
      <c r="H97" s="153"/>
      <c r="I97" s="154"/>
    </row>
    <row r="98" spans="2:9">
      <c r="B98" s="138" t="s">
        <v>239</v>
      </c>
      <c r="C98" s="139" t="s">
        <v>548</v>
      </c>
      <c r="D98" s="169" t="s">
        <v>122</v>
      </c>
      <c r="E98" s="140" t="s">
        <v>549</v>
      </c>
      <c r="F98" s="176">
        <v>6947499.21</v>
      </c>
      <c r="G98" s="139">
        <v>47</v>
      </c>
      <c r="H98" s="153"/>
      <c r="I98" s="154"/>
    </row>
    <row r="99" spans="2:9">
      <c r="B99" s="138" t="s">
        <v>240</v>
      </c>
      <c r="C99" s="139" t="s">
        <v>550</v>
      </c>
      <c r="D99" s="169" t="s">
        <v>30</v>
      </c>
      <c r="E99" s="140" t="s">
        <v>547</v>
      </c>
      <c r="F99" s="176">
        <v>451486.77</v>
      </c>
      <c r="G99" s="139">
        <v>10</v>
      </c>
      <c r="H99" s="153"/>
      <c r="I99" s="154"/>
    </row>
    <row r="100" spans="2:9">
      <c r="B100" s="138" t="s">
        <v>241</v>
      </c>
      <c r="C100" s="139" t="s">
        <v>550</v>
      </c>
      <c r="D100" s="169" t="s">
        <v>138</v>
      </c>
      <c r="E100" s="140" t="s">
        <v>549</v>
      </c>
      <c r="F100" s="176">
        <v>5997297.2199999997</v>
      </c>
      <c r="G100" s="139">
        <v>40</v>
      </c>
      <c r="H100" s="153"/>
      <c r="I100" s="154"/>
    </row>
    <row r="101" spans="2:9">
      <c r="B101" s="138" t="s">
        <v>242</v>
      </c>
      <c r="C101" s="139" t="s">
        <v>548</v>
      </c>
      <c r="D101" s="169" t="s">
        <v>130</v>
      </c>
      <c r="E101" s="140" t="s">
        <v>549</v>
      </c>
      <c r="F101" s="176">
        <v>3107756.66</v>
      </c>
      <c r="G101" s="139">
        <v>21</v>
      </c>
      <c r="H101" s="153"/>
      <c r="I101" s="154"/>
    </row>
    <row r="102" spans="2:9">
      <c r="B102" s="138" t="s">
        <v>243</v>
      </c>
      <c r="C102" s="139" t="s">
        <v>548</v>
      </c>
      <c r="D102" s="169" t="s">
        <v>147</v>
      </c>
      <c r="E102" s="140" t="s">
        <v>549</v>
      </c>
      <c r="F102" s="176">
        <v>8511066.9000000004</v>
      </c>
      <c r="G102" s="139">
        <v>48</v>
      </c>
      <c r="H102" s="153"/>
      <c r="I102" s="154"/>
    </row>
    <row r="103" spans="2:9">
      <c r="B103" s="138" t="s">
        <v>245</v>
      </c>
      <c r="C103" s="139" t="s">
        <v>548</v>
      </c>
      <c r="D103" s="169" t="s">
        <v>122</v>
      </c>
      <c r="E103" s="140" t="s">
        <v>547</v>
      </c>
      <c r="F103" s="176">
        <v>14817405.609999999</v>
      </c>
      <c r="G103" s="139">
        <v>70</v>
      </c>
      <c r="H103" s="153"/>
      <c r="I103" s="154"/>
    </row>
    <row r="104" spans="2:9">
      <c r="B104" s="138" t="s">
        <v>244</v>
      </c>
      <c r="C104" s="139" t="s">
        <v>550</v>
      </c>
      <c r="D104" s="169" t="s">
        <v>96</v>
      </c>
      <c r="E104" s="140" t="s">
        <v>549</v>
      </c>
      <c r="F104" s="176">
        <v>6102760.2400000002</v>
      </c>
      <c r="G104" s="139">
        <v>45</v>
      </c>
      <c r="H104" s="153"/>
      <c r="I104" s="154"/>
    </row>
    <row r="105" spans="2:9">
      <c r="B105" s="138" t="s">
        <v>246</v>
      </c>
      <c r="C105" s="139" t="s">
        <v>548</v>
      </c>
      <c r="D105" s="169" t="s">
        <v>109</v>
      </c>
      <c r="E105" s="140" t="s">
        <v>549</v>
      </c>
      <c r="F105" s="176">
        <v>11213952.600000001</v>
      </c>
      <c r="G105" s="139">
        <v>79</v>
      </c>
      <c r="H105" s="153"/>
      <c r="I105" s="154"/>
    </row>
    <row r="106" spans="2:9">
      <c r="B106" s="138" t="s">
        <v>610</v>
      </c>
      <c r="C106" s="139" t="s">
        <v>548</v>
      </c>
      <c r="D106" s="169" t="s">
        <v>107</v>
      </c>
      <c r="E106" s="140" t="s">
        <v>547</v>
      </c>
      <c r="F106" s="176">
        <v>3729095.45</v>
      </c>
      <c r="G106" s="139">
        <v>50</v>
      </c>
      <c r="H106" s="153"/>
      <c r="I106" s="154"/>
    </row>
    <row r="107" spans="2:9">
      <c r="B107" s="138" t="s">
        <v>247</v>
      </c>
      <c r="C107" s="139" t="s">
        <v>548</v>
      </c>
      <c r="D107" s="169" t="s">
        <v>137</v>
      </c>
      <c r="E107" s="140" t="s">
        <v>549</v>
      </c>
      <c r="F107" s="176">
        <v>4909911.84</v>
      </c>
      <c r="G107" s="139">
        <v>40</v>
      </c>
      <c r="H107" s="153"/>
      <c r="I107" s="154"/>
    </row>
    <row r="108" spans="2:9">
      <c r="B108" s="138" t="s">
        <v>248</v>
      </c>
      <c r="C108" s="139" t="s">
        <v>548</v>
      </c>
      <c r="D108" s="169" t="s">
        <v>156</v>
      </c>
      <c r="E108" s="140" t="s">
        <v>549</v>
      </c>
      <c r="F108" s="176">
        <v>6179749.1799999997</v>
      </c>
      <c r="G108" s="139">
        <v>68</v>
      </c>
      <c r="H108" s="153"/>
      <c r="I108" s="154"/>
    </row>
    <row r="109" spans="2:9">
      <c r="B109" s="138" t="s">
        <v>249</v>
      </c>
      <c r="C109" s="139" t="s">
        <v>548</v>
      </c>
      <c r="D109" s="169" t="s">
        <v>109</v>
      </c>
      <c r="E109" s="140" t="s">
        <v>549</v>
      </c>
      <c r="F109" s="176">
        <v>4562335.58</v>
      </c>
      <c r="G109" s="139">
        <v>54</v>
      </c>
      <c r="H109" s="153"/>
      <c r="I109" s="154"/>
    </row>
    <row r="110" spans="2:9">
      <c r="B110" s="138" t="s">
        <v>250</v>
      </c>
      <c r="C110" s="139" t="s">
        <v>548</v>
      </c>
      <c r="D110" s="169" t="s">
        <v>131</v>
      </c>
      <c r="E110" s="140" t="s">
        <v>549</v>
      </c>
      <c r="F110" s="176">
        <v>10209885.800000001</v>
      </c>
      <c r="G110" s="139">
        <v>105</v>
      </c>
      <c r="H110" s="153"/>
      <c r="I110" s="154"/>
    </row>
    <row r="111" spans="2:9">
      <c r="B111" s="138" t="s">
        <v>251</v>
      </c>
      <c r="C111" s="139" t="s">
        <v>550</v>
      </c>
      <c r="D111" s="169" t="s">
        <v>25</v>
      </c>
      <c r="E111" s="140" t="s">
        <v>549</v>
      </c>
      <c r="F111" s="176">
        <v>3133383.6500000004</v>
      </c>
      <c r="G111" s="139">
        <v>30</v>
      </c>
      <c r="H111" s="153"/>
      <c r="I111" s="154"/>
    </row>
    <row r="112" spans="2:9">
      <c r="B112" s="138" t="s">
        <v>252</v>
      </c>
      <c r="C112" s="139" t="s">
        <v>548</v>
      </c>
      <c r="D112" s="169" t="s">
        <v>116</v>
      </c>
      <c r="E112" s="140" t="s">
        <v>547</v>
      </c>
      <c r="F112" s="176">
        <v>10700162.5</v>
      </c>
      <c r="G112" s="139">
        <v>103</v>
      </c>
      <c r="H112" s="153"/>
      <c r="I112" s="154"/>
    </row>
    <row r="113" spans="2:9">
      <c r="B113" s="138" t="s">
        <v>611</v>
      </c>
      <c r="C113" s="139" t="s">
        <v>548</v>
      </c>
      <c r="D113" s="169" t="s">
        <v>116</v>
      </c>
      <c r="E113" s="140" t="s">
        <v>547</v>
      </c>
      <c r="F113" s="176">
        <v>9415903.3100000005</v>
      </c>
      <c r="G113" s="139">
        <v>63</v>
      </c>
      <c r="H113" s="153"/>
      <c r="I113" s="154"/>
    </row>
    <row r="114" spans="2:9">
      <c r="B114" s="138" t="s">
        <v>253</v>
      </c>
      <c r="C114" s="139" t="s">
        <v>548</v>
      </c>
      <c r="D114" s="169" t="s">
        <v>116</v>
      </c>
      <c r="E114" s="140" t="s">
        <v>547</v>
      </c>
      <c r="F114" s="176">
        <v>2198567.94</v>
      </c>
      <c r="G114" s="139">
        <v>77</v>
      </c>
      <c r="H114" s="153"/>
      <c r="I114" s="154"/>
    </row>
    <row r="115" spans="2:9">
      <c r="B115" s="138" t="s">
        <v>612</v>
      </c>
      <c r="C115" s="139" t="s">
        <v>548</v>
      </c>
      <c r="D115" s="169" t="s">
        <v>109</v>
      </c>
      <c r="E115" s="140" t="s">
        <v>547</v>
      </c>
      <c r="F115" s="176">
        <v>5443560.6400000006</v>
      </c>
      <c r="G115" s="139">
        <v>65</v>
      </c>
      <c r="H115" s="153"/>
      <c r="I115" s="154"/>
    </row>
    <row r="116" spans="2:9">
      <c r="B116" s="138" t="s">
        <v>254</v>
      </c>
      <c r="C116" s="139" t="s">
        <v>548</v>
      </c>
      <c r="D116" s="169" t="s">
        <v>140</v>
      </c>
      <c r="E116" s="140" t="s">
        <v>549</v>
      </c>
      <c r="F116" s="176">
        <v>3328714.9300000006</v>
      </c>
      <c r="G116" s="139">
        <v>32</v>
      </c>
      <c r="H116" s="153"/>
      <c r="I116" s="154"/>
    </row>
    <row r="117" spans="2:9">
      <c r="B117" s="138" t="s">
        <v>255</v>
      </c>
      <c r="C117" s="139" t="s">
        <v>550</v>
      </c>
      <c r="D117" s="169" t="s">
        <v>22</v>
      </c>
      <c r="E117" s="140" t="s">
        <v>547</v>
      </c>
      <c r="F117" s="176">
        <v>1611239.08</v>
      </c>
      <c r="G117" s="139">
        <v>32</v>
      </c>
      <c r="H117" s="153"/>
      <c r="I117" s="154"/>
    </row>
    <row r="118" spans="2:9">
      <c r="B118" s="138" t="s">
        <v>256</v>
      </c>
      <c r="C118" s="139" t="s">
        <v>548</v>
      </c>
      <c r="D118" s="169" t="s">
        <v>103</v>
      </c>
      <c r="E118" s="140" t="s">
        <v>547</v>
      </c>
      <c r="F118" s="176">
        <v>16544969.43</v>
      </c>
      <c r="G118" s="139">
        <v>80</v>
      </c>
      <c r="H118" s="153"/>
      <c r="I118" s="154"/>
    </row>
    <row r="119" spans="2:9">
      <c r="B119" s="138" t="s">
        <v>257</v>
      </c>
      <c r="C119" s="139" t="s">
        <v>548</v>
      </c>
      <c r="D119" s="169" t="s">
        <v>103</v>
      </c>
      <c r="E119" s="140" t="s">
        <v>549</v>
      </c>
      <c r="F119" s="176">
        <v>19203186.859999999</v>
      </c>
      <c r="G119" s="139">
        <v>80</v>
      </c>
      <c r="H119" s="153"/>
      <c r="I119" s="154"/>
    </row>
    <row r="120" spans="2:9">
      <c r="B120" s="138" t="s">
        <v>258</v>
      </c>
      <c r="C120" s="139" t="s">
        <v>548</v>
      </c>
      <c r="D120" s="169" t="s">
        <v>103</v>
      </c>
      <c r="E120" s="140" t="s">
        <v>549</v>
      </c>
      <c r="F120" s="176">
        <v>8354597.5500000007</v>
      </c>
      <c r="G120" s="139">
        <v>55</v>
      </c>
      <c r="H120" s="153"/>
      <c r="I120" s="154"/>
    </row>
    <row r="121" spans="2:9">
      <c r="B121" s="138" t="s">
        <v>585</v>
      </c>
      <c r="C121" s="139" t="s">
        <v>548</v>
      </c>
      <c r="D121" s="169" t="s">
        <v>142</v>
      </c>
      <c r="E121" s="140" t="s">
        <v>549</v>
      </c>
      <c r="F121" s="176">
        <v>6113882.9000000004</v>
      </c>
      <c r="G121" s="139">
        <v>50</v>
      </c>
      <c r="H121" s="153"/>
      <c r="I121" s="154"/>
    </row>
    <row r="122" spans="2:9">
      <c r="B122" s="138" t="s">
        <v>259</v>
      </c>
      <c r="C122" s="139" t="s">
        <v>548</v>
      </c>
      <c r="D122" s="169" t="s">
        <v>144</v>
      </c>
      <c r="E122" s="140" t="s">
        <v>549</v>
      </c>
      <c r="F122" s="176">
        <v>1890959.6500000001</v>
      </c>
      <c r="G122" s="139">
        <v>40</v>
      </c>
      <c r="H122" s="153"/>
      <c r="I122" s="154"/>
    </row>
    <row r="123" spans="2:9">
      <c r="B123" s="138" t="s">
        <v>260</v>
      </c>
      <c r="C123" s="139" t="s">
        <v>548</v>
      </c>
      <c r="D123" s="169" t="s">
        <v>124</v>
      </c>
      <c r="E123" s="140" t="s">
        <v>549</v>
      </c>
      <c r="F123" s="176">
        <v>16609681.549999999</v>
      </c>
      <c r="G123" s="139">
        <v>90</v>
      </c>
      <c r="H123" s="153"/>
      <c r="I123" s="154"/>
    </row>
    <row r="124" spans="2:9">
      <c r="B124" s="138" t="s">
        <v>261</v>
      </c>
      <c r="C124" s="139" t="s">
        <v>548</v>
      </c>
      <c r="D124" s="169" t="s">
        <v>129</v>
      </c>
      <c r="E124" s="140" t="s">
        <v>549</v>
      </c>
      <c r="F124" s="176">
        <v>16235188.140000001</v>
      </c>
      <c r="G124" s="139">
        <v>85</v>
      </c>
      <c r="H124" s="153"/>
      <c r="I124" s="154"/>
    </row>
    <row r="125" spans="2:9">
      <c r="B125" s="138" t="s">
        <v>262</v>
      </c>
      <c r="C125" s="139" t="s">
        <v>548</v>
      </c>
      <c r="D125" s="169" t="s">
        <v>131</v>
      </c>
      <c r="E125" s="140" t="s">
        <v>549</v>
      </c>
      <c r="F125" s="176">
        <v>20309247.990000002</v>
      </c>
      <c r="G125" s="139">
        <v>97</v>
      </c>
      <c r="H125" s="153"/>
      <c r="I125" s="154"/>
    </row>
    <row r="126" spans="2:9">
      <c r="B126" s="138" t="s">
        <v>263</v>
      </c>
      <c r="C126" s="139" t="s">
        <v>548</v>
      </c>
      <c r="D126" s="169" t="s">
        <v>140</v>
      </c>
      <c r="E126" s="140" t="s">
        <v>549</v>
      </c>
      <c r="F126" s="176">
        <v>4217271.2799999993</v>
      </c>
      <c r="G126" s="139">
        <v>41</v>
      </c>
      <c r="H126" s="153"/>
      <c r="I126" s="154"/>
    </row>
    <row r="127" spans="2:9">
      <c r="B127" s="138" t="s">
        <v>264</v>
      </c>
      <c r="C127" s="139" t="s">
        <v>548</v>
      </c>
      <c r="D127" s="169" t="s">
        <v>139</v>
      </c>
      <c r="E127" s="140" t="s">
        <v>549</v>
      </c>
      <c r="F127" s="176">
        <v>10203630.699999999</v>
      </c>
      <c r="G127" s="139">
        <v>75</v>
      </c>
      <c r="H127" s="153"/>
      <c r="I127" s="154"/>
    </row>
    <row r="128" spans="2:9">
      <c r="B128" s="138" t="s">
        <v>265</v>
      </c>
      <c r="C128" s="139" t="s">
        <v>548</v>
      </c>
      <c r="D128" s="169" t="s">
        <v>139</v>
      </c>
      <c r="E128" s="140" t="s">
        <v>549</v>
      </c>
      <c r="F128" s="176">
        <v>7398866.4499999993</v>
      </c>
      <c r="G128" s="139">
        <v>50</v>
      </c>
      <c r="H128" s="153"/>
      <c r="I128" s="154"/>
    </row>
    <row r="129" spans="2:9">
      <c r="B129" s="138" t="s">
        <v>266</v>
      </c>
      <c r="C129" s="139" t="s">
        <v>548</v>
      </c>
      <c r="D129" s="169" t="s">
        <v>131</v>
      </c>
      <c r="E129" s="140" t="s">
        <v>547</v>
      </c>
      <c r="F129" s="176">
        <v>147172.43</v>
      </c>
      <c r="G129" s="139">
        <v>19</v>
      </c>
      <c r="H129" s="153"/>
      <c r="I129" s="154"/>
    </row>
    <row r="130" spans="2:9">
      <c r="B130" s="138" t="s">
        <v>267</v>
      </c>
      <c r="C130" s="139" t="s">
        <v>550</v>
      </c>
      <c r="D130" s="169" t="s">
        <v>105</v>
      </c>
      <c r="E130" s="140" t="s">
        <v>549</v>
      </c>
      <c r="F130" s="176">
        <v>980897.37</v>
      </c>
      <c r="G130" s="139">
        <v>30</v>
      </c>
      <c r="H130" s="153"/>
      <c r="I130" s="154"/>
    </row>
    <row r="131" spans="2:9">
      <c r="B131" s="138" t="s">
        <v>268</v>
      </c>
      <c r="C131" s="139" t="s">
        <v>550</v>
      </c>
      <c r="D131" s="169" t="s">
        <v>105</v>
      </c>
      <c r="E131" s="140" t="s">
        <v>547</v>
      </c>
      <c r="F131" s="176">
        <v>4680576.0599999996</v>
      </c>
      <c r="G131" s="139">
        <v>84</v>
      </c>
      <c r="H131" s="153"/>
      <c r="I131" s="154"/>
    </row>
    <row r="132" spans="2:9">
      <c r="B132" s="138" t="s">
        <v>613</v>
      </c>
      <c r="C132" s="139" t="s">
        <v>548</v>
      </c>
      <c r="D132" s="169" t="s">
        <v>124</v>
      </c>
      <c r="E132" s="140" t="s">
        <v>547</v>
      </c>
      <c r="F132" s="176">
        <v>5200484.6500000004</v>
      </c>
      <c r="G132" s="139">
        <v>80</v>
      </c>
      <c r="H132" s="153"/>
      <c r="I132" s="154"/>
    </row>
    <row r="133" spans="2:9">
      <c r="B133" s="138" t="s">
        <v>269</v>
      </c>
      <c r="C133" s="139" t="s">
        <v>548</v>
      </c>
      <c r="D133" s="169" t="s">
        <v>109</v>
      </c>
      <c r="E133" s="140" t="s">
        <v>549</v>
      </c>
      <c r="F133" s="176">
        <v>13919969.57</v>
      </c>
      <c r="G133" s="139">
        <v>100</v>
      </c>
      <c r="H133" s="153"/>
      <c r="I133" s="154"/>
    </row>
    <row r="134" spans="2:9">
      <c r="B134" s="138" t="s">
        <v>270</v>
      </c>
      <c r="C134" s="139" t="s">
        <v>550</v>
      </c>
      <c r="D134" s="169" t="s">
        <v>160</v>
      </c>
      <c r="E134" s="140" t="s">
        <v>549</v>
      </c>
      <c r="F134" s="176">
        <v>6828397.1699999999</v>
      </c>
      <c r="G134" s="139">
        <v>80</v>
      </c>
      <c r="H134" s="153"/>
      <c r="I134" s="154"/>
    </row>
    <row r="135" spans="2:9">
      <c r="B135" s="138" t="s">
        <v>271</v>
      </c>
      <c r="C135" s="139" t="s">
        <v>548</v>
      </c>
      <c r="D135" s="169" t="s">
        <v>144</v>
      </c>
      <c r="E135" s="140" t="s">
        <v>549</v>
      </c>
      <c r="F135" s="176">
        <v>1782802.0699999998</v>
      </c>
      <c r="G135" s="139">
        <v>28</v>
      </c>
      <c r="H135" s="153"/>
      <c r="I135" s="154"/>
    </row>
    <row r="136" spans="2:9">
      <c r="B136" s="138" t="s">
        <v>272</v>
      </c>
      <c r="C136" s="139" t="s">
        <v>548</v>
      </c>
      <c r="D136" s="169" t="s">
        <v>142</v>
      </c>
      <c r="E136" s="140" t="s">
        <v>549</v>
      </c>
      <c r="F136" s="176">
        <v>3901429.5299999993</v>
      </c>
      <c r="G136" s="139">
        <v>40</v>
      </c>
      <c r="H136" s="153"/>
      <c r="I136" s="154"/>
    </row>
    <row r="137" spans="2:9">
      <c r="B137" s="138" t="s">
        <v>273</v>
      </c>
      <c r="C137" s="139" t="s">
        <v>548</v>
      </c>
      <c r="D137" s="169" t="s">
        <v>153</v>
      </c>
      <c r="E137" s="140" t="s">
        <v>549</v>
      </c>
      <c r="F137" s="176">
        <v>10424381.799999999</v>
      </c>
      <c r="G137" s="139">
        <v>40</v>
      </c>
      <c r="H137" s="153"/>
      <c r="I137" s="154"/>
    </row>
    <row r="138" spans="2:9">
      <c r="B138" s="138" t="s">
        <v>274</v>
      </c>
      <c r="C138" s="139" t="s">
        <v>548</v>
      </c>
      <c r="D138" s="169" t="s">
        <v>153</v>
      </c>
      <c r="E138" s="140" t="s">
        <v>549</v>
      </c>
      <c r="F138" s="176">
        <v>25347217.870000001</v>
      </c>
      <c r="G138" s="139">
        <v>99</v>
      </c>
      <c r="H138" s="153"/>
      <c r="I138" s="154"/>
    </row>
    <row r="139" spans="2:9">
      <c r="B139" s="138" t="s">
        <v>614</v>
      </c>
      <c r="C139" s="139" t="s">
        <v>548</v>
      </c>
      <c r="D139" s="169" t="s">
        <v>153</v>
      </c>
      <c r="E139" s="140" t="s">
        <v>547</v>
      </c>
      <c r="F139" s="176">
        <v>6018185.8499999996</v>
      </c>
      <c r="G139" s="139">
        <v>45</v>
      </c>
      <c r="H139" s="153"/>
      <c r="I139" s="154"/>
    </row>
    <row r="140" spans="2:9">
      <c r="B140" s="138" t="s">
        <v>275</v>
      </c>
      <c r="C140" s="139" t="s">
        <v>550</v>
      </c>
      <c r="D140" s="169" t="s">
        <v>98</v>
      </c>
      <c r="E140" s="140" t="s">
        <v>549</v>
      </c>
      <c r="F140" s="176">
        <v>1279751.9200000002</v>
      </c>
      <c r="G140" s="139">
        <v>14</v>
      </c>
      <c r="H140" s="153"/>
      <c r="I140" s="154"/>
    </row>
    <row r="141" spans="2:9">
      <c r="B141" s="138" t="s">
        <v>591</v>
      </c>
      <c r="C141" s="139" t="s">
        <v>548</v>
      </c>
      <c r="D141" s="169" t="s">
        <v>137</v>
      </c>
      <c r="E141" s="140" t="s">
        <v>547</v>
      </c>
      <c r="F141" s="176">
        <v>6338855.5</v>
      </c>
      <c r="G141" s="139">
        <v>100</v>
      </c>
      <c r="H141" s="153"/>
      <c r="I141" s="154"/>
    </row>
    <row r="142" spans="2:9">
      <c r="B142" s="138" t="s">
        <v>276</v>
      </c>
      <c r="C142" s="139" t="s">
        <v>548</v>
      </c>
      <c r="D142" s="169" t="s">
        <v>153</v>
      </c>
      <c r="E142" s="140" t="s">
        <v>549</v>
      </c>
      <c r="F142" s="176">
        <v>21977484.890000001</v>
      </c>
      <c r="G142" s="139">
        <v>89</v>
      </c>
      <c r="H142" s="153"/>
      <c r="I142" s="154"/>
    </row>
    <row r="143" spans="2:9">
      <c r="B143" s="138" t="s">
        <v>277</v>
      </c>
      <c r="C143" s="139" t="s">
        <v>550</v>
      </c>
      <c r="D143" s="169" t="s">
        <v>99</v>
      </c>
      <c r="E143" s="140" t="s">
        <v>549</v>
      </c>
      <c r="F143" s="176">
        <v>3915933.6</v>
      </c>
      <c r="G143" s="139">
        <v>28</v>
      </c>
      <c r="H143" s="153"/>
      <c r="I143" s="154"/>
    </row>
    <row r="144" spans="2:9">
      <c r="B144" s="138" t="s">
        <v>615</v>
      </c>
      <c r="C144" s="139" t="s">
        <v>548</v>
      </c>
      <c r="D144" s="169" t="s">
        <v>139</v>
      </c>
      <c r="E144" s="140" t="s">
        <v>547</v>
      </c>
      <c r="F144" s="176">
        <v>1205754.6600000001</v>
      </c>
      <c r="G144" s="139">
        <v>33</v>
      </c>
      <c r="H144" s="153"/>
      <c r="I144" s="154"/>
    </row>
    <row r="145" spans="2:9">
      <c r="B145" s="138" t="s">
        <v>278</v>
      </c>
      <c r="C145" s="139" t="s">
        <v>548</v>
      </c>
      <c r="D145" s="169" t="s">
        <v>125</v>
      </c>
      <c r="E145" s="140" t="s">
        <v>547</v>
      </c>
      <c r="F145" s="176">
        <v>946222.91999999993</v>
      </c>
      <c r="G145" s="139">
        <v>34</v>
      </c>
      <c r="H145" s="153"/>
      <c r="I145" s="154"/>
    </row>
    <row r="146" spans="2:9">
      <c r="B146" s="138" t="s">
        <v>279</v>
      </c>
      <c r="C146" s="139" t="s">
        <v>548</v>
      </c>
      <c r="D146" s="169" t="s">
        <v>125</v>
      </c>
      <c r="E146" s="140" t="s">
        <v>549</v>
      </c>
      <c r="F146" s="176">
        <v>4145411.1100000003</v>
      </c>
      <c r="G146" s="139">
        <v>49</v>
      </c>
      <c r="H146" s="153"/>
      <c r="I146" s="154"/>
    </row>
    <row r="147" spans="2:9">
      <c r="B147" s="138" t="s">
        <v>280</v>
      </c>
      <c r="C147" s="139" t="s">
        <v>548</v>
      </c>
      <c r="D147" s="169" t="s">
        <v>139</v>
      </c>
      <c r="E147" s="140" t="s">
        <v>549</v>
      </c>
      <c r="F147" s="176">
        <v>11274236.690000001</v>
      </c>
      <c r="G147" s="139">
        <v>64</v>
      </c>
      <c r="H147" s="153"/>
      <c r="I147" s="154"/>
    </row>
    <row r="148" spans="2:9">
      <c r="B148" s="138" t="s">
        <v>281</v>
      </c>
      <c r="C148" s="139" t="s">
        <v>550</v>
      </c>
      <c r="D148" s="169" t="s">
        <v>158</v>
      </c>
      <c r="E148" s="140" t="s">
        <v>549</v>
      </c>
      <c r="F148" s="176">
        <v>350869.11</v>
      </c>
      <c r="G148" s="139">
        <v>8</v>
      </c>
      <c r="H148" s="153"/>
      <c r="I148" s="154"/>
    </row>
    <row r="149" spans="2:9">
      <c r="B149" s="138" t="s">
        <v>282</v>
      </c>
      <c r="C149" s="139" t="s">
        <v>548</v>
      </c>
      <c r="D149" s="169" t="s">
        <v>136</v>
      </c>
      <c r="E149" s="140" t="s">
        <v>549</v>
      </c>
      <c r="F149" s="176">
        <v>4301083.1800000006</v>
      </c>
      <c r="G149" s="139">
        <v>46</v>
      </c>
      <c r="H149" s="153"/>
      <c r="I149" s="154"/>
    </row>
    <row r="150" spans="2:9">
      <c r="B150" s="138" t="s">
        <v>283</v>
      </c>
      <c r="C150" s="139" t="s">
        <v>550</v>
      </c>
      <c r="D150" s="169" t="s">
        <v>146</v>
      </c>
      <c r="E150" s="140" t="s">
        <v>547</v>
      </c>
      <c r="F150" s="176">
        <v>803892.74</v>
      </c>
      <c r="G150" s="139">
        <v>25</v>
      </c>
      <c r="H150" s="153"/>
      <c r="I150" s="154"/>
    </row>
    <row r="151" spans="2:9">
      <c r="B151" s="138" t="s">
        <v>284</v>
      </c>
      <c r="C151" s="139" t="s">
        <v>548</v>
      </c>
      <c r="D151" s="169" t="s">
        <v>107</v>
      </c>
      <c r="E151" s="140" t="s">
        <v>549</v>
      </c>
      <c r="F151" s="176">
        <v>16347193.399999999</v>
      </c>
      <c r="G151" s="139">
        <v>85</v>
      </c>
      <c r="H151" s="153"/>
      <c r="I151" s="154"/>
    </row>
    <row r="152" spans="2:9">
      <c r="B152" s="138" t="s">
        <v>616</v>
      </c>
      <c r="C152" s="139" t="s">
        <v>548</v>
      </c>
      <c r="D152" s="169" t="s">
        <v>111</v>
      </c>
      <c r="E152" s="140" t="s">
        <v>547</v>
      </c>
      <c r="F152" s="176">
        <v>12054212.9</v>
      </c>
      <c r="G152" s="139">
        <v>82</v>
      </c>
      <c r="H152" s="153"/>
      <c r="I152" s="154"/>
    </row>
    <row r="153" spans="2:9">
      <c r="B153" s="138" t="s">
        <v>285</v>
      </c>
      <c r="C153" s="139" t="s">
        <v>548</v>
      </c>
      <c r="D153" s="169" t="s">
        <v>124</v>
      </c>
      <c r="E153" s="140" t="s">
        <v>547</v>
      </c>
      <c r="F153" s="176">
        <v>1754991.1199999999</v>
      </c>
      <c r="G153" s="139">
        <v>35</v>
      </c>
      <c r="H153" s="153"/>
      <c r="I153" s="154"/>
    </row>
    <row r="154" spans="2:9">
      <c r="B154" s="138" t="s">
        <v>286</v>
      </c>
      <c r="C154" s="139" t="s">
        <v>548</v>
      </c>
      <c r="D154" s="169" t="s">
        <v>109</v>
      </c>
      <c r="E154" s="140" t="s">
        <v>547</v>
      </c>
      <c r="F154" s="176"/>
      <c r="G154" s="139">
        <v>0</v>
      </c>
      <c r="H154" s="153"/>
      <c r="I154" s="154"/>
    </row>
    <row r="155" spans="2:9">
      <c r="B155" s="138" t="s">
        <v>287</v>
      </c>
      <c r="C155" s="139" t="s">
        <v>550</v>
      </c>
      <c r="D155" s="169" t="s">
        <v>117</v>
      </c>
      <c r="E155" s="140" t="s">
        <v>549</v>
      </c>
      <c r="F155" s="176">
        <v>3236839.7300000004</v>
      </c>
      <c r="G155" s="139">
        <v>39</v>
      </c>
      <c r="H155" s="153"/>
      <c r="I155" s="154"/>
    </row>
    <row r="156" spans="2:9">
      <c r="B156" s="138" t="s">
        <v>288</v>
      </c>
      <c r="C156" s="139" t="s">
        <v>550</v>
      </c>
      <c r="D156" s="169" t="s">
        <v>117</v>
      </c>
      <c r="E156" s="140" t="s">
        <v>549</v>
      </c>
      <c r="F156" s="176">
        <v>6362350.9100000001</v>
      </c>
      <c r="G156" s="139">
        <v>50</v>
      </c>
      <c r="H156" s="153"/>
      <c r="I156" s="154"/>
    </row>
    <row r="157" spans="2:9">
      <c r="B157" s="138" t="s">
        <v>289</v>
      </c>
      <c r="C157" s="139" t="s">
        <v>550</v>
      </c>
      <c r="D157" s="169" t="s">
        <v>117</v>
      </c>
      <c r="E157" s="140" t="s">
        <v>547</v>
      </c>
      <c r="F157" s="176">
        <v>10507180.49</v>
      </c>
      <c r="G157" s="139">
        <v>105</v>
      </c>
      <c r="H157" s="153"/>
      <c r="I157" s="154"/>
    </row>
    <row r="158" spans="2:9">
      <c r="B158" s="138" t="s">
        <v>617</v>
      </c>
      <c r="C158" s="139" t="s">
        <v>550</v>
      </c>
      <c r="D158" s="169" t="s">
        <v>117</v>
      </c>
      <c r="E158" s="140" t="s">
        <v>547</v>
      </c>
      <c r="F158" s="176">
        <v>6347606.9499999993</v>
      </c>
      <c r="G158" s="139">
        <v>72</v>
      </c>
      <c r="H158" s="153"/>
      <c r="I158" s="154"/>
    </row>
    <row r="159" spans="2:9">
      <c r="B159" s="138" t="s">
        <v>290</v>
      </c>
      <c r="C159" s="139" t="s">
        <v>550</v>
      </c>
      <c r="D159" s="169" t="s">
        <v>96</v>
      </c>
      <c r="E159" s="140" t="s">
        <v>549</v>
      </c>
      <c r="F159" s="176">
        <v>1973967.4699999997</v>
      </c>
      <c r="G159" s="139">
        <v>28</v>
      </c>
      <c r="H159" s="153"/>
      <c r="I159" s="154"/>
    </row>
    <row r="160" spans="2:9">
      <c r="B160" s="138" t="s">
        <v>291</v>
      </c>
      <c r="C160" s="139" t="s">
        <v>548</v>
      </c>
      <c r="D160" s="169" t="s">
        <v>122</v>
      </c>
      <c r="E160" s="140" t="s">
        <v>549</v>
      </c>
      <c r="F160" s="176">
        <v>24547920.810000002</v>
      </c>
      <c r="G160" s="139">
        <v>86</v>
      </c>
      <c r="H160" s="153"/>
      <c r="I160" s="154"/>
    </row>
    <row r="161" spans="2:9">
      <c r="B161" s="138" t="s">
        <v>292</v>
      </c>
      <c r="C161" s="139" t="s">
        <v>548</v>
      </c>
      <c r="D161" s="169" t="s">
        <v>103</v>
      </c>
      <c r="E161" s="140" t="s">
        <v>549</v>
      </c>
      <c r="F161" s="176">
        <v>10801205.789999999</v>
      </c>
      <c r="G161" s="139">
        <v>50</v>
      </c>
      <c r="H161" s="153"/>
      <c r="I161" s="154"/>
    </row>
    <row r="162" spans="2:9">
      <c r="B162" s="138" t="s">
        <v>618</v>
      </c>
      <c r="C162" s="139" t="s">
        <v>548</v>
      </c>
      <c r="D162" s="169" t="s">
        <v>139</v>
      </c>
      <c r="E162" s="140" t="s">
        <v>547</v>
      </c>
      <c r="F162" s="176">
        <v>6398195.709999999</v>
      </c>
      <c r="G162" s="139">
        <v>40</v>
      </c>
      <c r="H162" s="153"/>
      <c r="I162" s="154"/>
    </row>
    <row r="163" spans="2:9">
      <c r="B163" s="138" t="s">
        <v>293</v>
      </c>
      <c r="C163" s="139" t="s">
        <v>548</v>
      </c>
      <c r="D163" s="169" t="s">
        <v>133</v>
      </c>
      <c r="E163" s="140" t="s">
        <v>549</v>
      </c>
      <c r="F163" s="176">
        <v>9813112.9100000001</v>
      </c>
      <c r="G163" s="139">
        <v>45</v>
      </c>
      <c r="H163" s="153"/>
      <c r="I163" s="154"/>
    </row>
    <row r="164" spans="2:9">
      <c r="B164" s="138" t="s">
        <v>294</v>
      </c>
      <c r="C164" s="139" t="s">
        <v>548</v>
      </c>
      <c r="D164" s="169" t="s">
        <v>132</v>
      </c>
      <c r="E164" s="140" t="s">
        <v>549</v>
      </c>
      <c r="F164" s="176">
        <v>7642580.1600000001</v>
      </c>
      <c r="G164" s="139">
        <v>60</v>
      </c>
      <c r="H164" s="153"/>
      <c r="I164" s="154"/>
    </row>
    <row r="165" spans="2:9">
      <c r="B165" s="138" t="s">
        <v>700</v>
      </c>
      <c r="C165" s="139" t="s">
        <v>550</v>
      </c>
      <c r="D165" s="169" t="s">
        <v>96</v>
      </c>
      <c r="E165" s="140" t="s">
        <v>549</v>
      </c>
      <c r="F165" s="176">
        <v>13666951.699999999</v>
      </c>
      <c r="G165" s="139">
        <v>105</v>
      </c>
      <c r="H165" s="153"/>
      <c r="I165" s="154"/>
    </row>
    <row r="166" spans="2:9">
      <c r="B166" s="138" t="s">
        <v>295</v>
      </c>
      <c r="C166" s="139" t="s">
        <v>550</v>
      </c>
      <c r="D166" s="169" t="s">
        <v>96</v>
      </c>
      <c r="E166" s="140" t="s">
        <v>549</v>
      </c>
      <c r="F166" s="176">
        <v>2128248.6599999997</v>
      </c>
      <c r="G166" s="139">
        <v>30</v>
      </c>
      <c r="H166" s="153"/>
      <c r="I166" s="154"/>
    </row>
    <row r="167" spans="2:9">
      <c r="B167" s="138" t="s">
        <v>296</v>
      </c>
      <c r="C167" s="139" t="s">
        <v>550</v>
      </c>
      <c r="D167" s="169" t="s">
        <v>113</v>
      </c>
      <c r="E167" s="140" t="s">
        <v>549</v>
      </c>
      <c r="F167" s="176">
        <v>2181500.4299999997</v>
      </c>
      <c r="G167" s="139">
        <v>23</v>
      </c>
      <c r="H167" s="153"/>
      <c r="I167" s="154"/>
    </row>
    <row r="168" spans="2:9">
      <c r="B168" s="138" t="s">
        <v>297</v>
      </c>
      <c r="C168" s="139" t="s">
        <v>550</v>
      </c>
      <c r="D168" s="169" t="s">
        <v>118</v>
      </c>
      <c r="E168" s="140" t="s">
        <v>549</v>
      </c>
      <c r="F168" s="176">
        <v>6896247.0300000003</v>
      </c>
      <c r="G168" s="139">
        <v>40</v>
      </c>
      <c r="H168" s="153"/>
      <c r="I168" s="154"/>
    </row>
    <row r="169" spans="2:9">
      <c r="B169" s="138" t="s">
        <v>298</v>
      </c>
      <c r="C169" s="139" t="s">
        <v>550</v>
      </c>
      <c r="D169" s="169" t="s">
        <v>28</v>
      </c>
      <c r="E169" s="140" t="s">
        <v>549</v>
      </c>
      <c r="F169" s="176">
        <v>4533527.1099999994</v>
      </c>
      <c r="G169" s="139">
        <v>40</v>
      </c>
      <c r="H169" s="153"/>
      <c r="I169" s="154"/>
    </row>
    <row r="170" spans="2:9">
      <c r="B170" s="138" t="s">
        <v>299</v>
      </c>
      <c r="C170" s="139" t="s">
        <v>548</v>
      </c>
      <c r="D170" s="169" t="s">
        <v>111</v>
      </c>
      <c r="E170" s="140" t="s">
        <v>549</v>
      </c>
      <c r="F170" s="176">
        <v>6379866.3599999994</v>
      </c>
      <c r="G170" s="139">
        <v>64</v>
      </c>
      <c r="H170" s="153"/>
      <c r="I170" s="154"/>
    </row>
    <row r="171" spans="2:9">
      <c r="B171" s="138" t="s">
        <v>300</v>
      </c>
      <c r="C171" s="139" t="s">
        <v>548</v>
      </c>
      <c r="D171" s="169" t="s">
        <v>140</v>
      </c>
      <c r="E171" s="140" t="s">
        <v>549</v>
      </c>
      <c r="F171" s="176">
        <v>10202204.68</v>
      </c>
      <c r="G171" s="139">
        <v>70</v>
      </c>
      <c r="H171" s="153"/>
      <c r="I171" s="154"/>
    </row>
    <row r="172" spans="2:9">
      <c r="B172" s="138" t="s">
        <v>301</v>
      </c>
      <c r="C172" s="139" t="s">
        <v>550</v>
      </c>
      <c r="D172" s="169" t="s">
        <v>126</v>
      </c>
      <c r="E172" s="140" t="s">
        <v>549</v>
      </c>
      <c r="F172" s="176">
        <v>6389827.1500000004</v>
      </c>
      <c r="G172" s="139">
        <v>34</v>
      </c>
      <c r="H172" s="153"/>
      <c r="I172" s="154"/>
    </row>
    <row r="173" spans="2:9">
      <c r="B173" s="138" t="s">
        <v>581</v>
      </c>
      <c r="C173" s="139" t="s">
        <v>550</v>
      </c>
      <c r="D173" s="169" t="s">
        <v>134</v>
      </c>
      <c r="E173" s="140" t="s">
        <v>549</v>
      </c>
      <c r="F173" s="176">
        <v>1498592.16</v>
      </c>
      <c r="G173" s="139">
        <v>15</v>
      </c>
      <c r="H173" s="153"/>
      <c r="I173" s="154"/>
    </row>
    <row r="174" spans="2:9">
      <c r="B174" s="138" t="s">
        <v>302</v>
      </c>
      <c r="C174" s="139" t="s">
        <v>550</v>
      </c>
      <c r="D174" s="169" t="s">
        <v>110</v>
      </c>
      <c r="E174" s="140" t="s">
        <v>549</v>
      </c>
      <c r="F174" s="176">
        <v>3032207.19</v>
      </c>
      <c r="G174" s="139">
        <v>24</v>
      </c>
      <c r="H174" s="153"/>
      <c r="I174" s="154"/>
    </row>
    <row r="175" spans="2:9">
      <c r="B175" s="138" t="s">
        <v>303</v>
      </c>
      <c r="C175" s="139" t="s">
        <v>550</v>
      </c>
      <c r="D175" s="169" t="s">
        <v>117</v>
      </c>
      <c r="E175" s="140" t="s">
        <v>549</v>
      </c>
      <c r="F175" s="176">
        <v>4080576.8800000004</v>
      </c>
      <c r="G175" s="139">
        <v>36</v>
      </c>
      <c r="H175" s="153"/>
      <c r="I175" s="154"/>
    </row>
    <row r="176" spans="2:9">
      <c r="B176" s="138" t="s">
        <v>304</v>
      </c>
      <c r="C176" s="139" t="s">
        <v>548</v>
      </c>
      <c r="D176" s="169" t="s">
        <v>103</v>
      </c>
      <c r="E176" s="140" t="s">
        <v>547</v>
      </c>
      <c r="F176" s="176">
        <v>5609312.2300000004</v>
      </c>
      <c r="G176" s="139">
        <v>70</v>
      </c>
      <c r="H176" s="153"/>
      <c r="I176" s="154"/>
    </row>
    <row r="177" spans="2:9">
      <c r="B177" s="138" t="s">
        <v>305</v>
      </c>
      <c r="C177" s="139" t="s">
        <v>548</v>
      </c>
      <c r="D177" s="169" t="s">
        <v>97</v>
      </c>
      <c r="E177" s="140" t="s">
        <v>549</v>
      </c>
      <c r="F177" s="176">
        <v>2279233.6399999997</v>
      </c>
      <c r="G177" s="139">
        <v>30</v>
      </c>
      <c r="H177" s="153"/>
      <c r="I177" s="154"/>
    </row>
    <row r="178" spans="2:9">
      <c r="B178" s="138" t="s">
        <v>619</v>
      </c>
      <c r="C178" s="139" t="s">
        <v>548</v>
      </c>
      <c r="D178" s="169" t="s">
        <v>97</v>
      </c>
      <c r="E178" s="140" t="s">
        <v>547</v>
      </c>
      <c r="F178" s="176">
        <v>5900525.0099999998</v>
      </c>
      <c r="G178" s="139">
        <v>78</v>
      </c>
      <c r="H178" s="153"/>
      <c r="I178" s="154"/>
    </row>
    <row r="179" spans="2:9">
      <c r="B179" s="138" t="s">
        <v>306</v>
      </c>
      <c r="C179" s="139" t="s">
        <v>548</v>
      </c>
      <c r="D179" s="169" t="s">
        <v>116</v>
      </c>
      <c r="E179" s="140" t="s">
        <v>547</v>
      </c>
      <c r="F179" s="176">
        <v>16081168.51</v>
      </c>
      <c r="G179" s="139">
        <v>93</v>
      </c>
      <c r="H179" s="153"/>
      <c r="I179" s="154"/>
    </row>
    <row r="180" spans="2:9">
      <c r="B180" s="138" t="s">
        <v>307</v>
      </c>
      <c r="C180" s="139" t="s">
        <v>548</v>
      </c>
      <c r="D180" s="169" t="s">
        <v>144</v>
      </c>
      <c r="E180" s="140" t="s">
        <v>549</v>
      </c>
      <c r="F180" s="176">
        <v>839894.55</v>
      </c>
      <c r="G180" s="139">
        <v>22</v>
      </c>
      <c r="H180" s="153"/>
      <c r="I180" s="154"/>
    </row>
    <row r="181" spans="2:9">
      <c r="B181" s="138" t="s">
        <v>308</v>
      </c>
      <c r="C181" s="139" t="s">
        <v>550</v>
      </c>
      <c r="D181" s="169" t="s">
        <v>117</v>
      </c>
      <c r="E181" s="140" t="s">
        <v>549</v>
      </c>
      <c r="F181" s="176">
        <v>11841693.32</v>
      </c>
      <c r="G181" s="139">
        <v>80</v>
      </c>
      <c r="H181" s="153"/>
      <c r="I181" s="154"/>
    </row>
    <row r="182" spans="2:9">
      <c r="B182" s="138" t="s">
        <v>309</v>
      </c>
      <c r="C182" s="139" t="s">
        <v>548</v>
      </c>
      <c r="D182" s="169" t="s">
        <v>107</v>
      </c>
      <c r="E182" s="140" t="s">
        <v>549</v>
      </c>
      <c r="F182" s="176">
        <v>15358551.489999998</v>
      </c>
      <c r="G182" s="139">
        <v>80</v>
      </c>
      <c r="H182" s="153"/>
      <c r="I182" s="154"/>
    </row>
    <row r="183" spans="2:9">
      <c r="B183" s="138" t="s">
        <v>311</v>
      </c>
      <c r="C183" s="139" t="s">
        <v>548</v>
      </c>
      <c r="D183" s="169" t="s">
        <v>107</v>
      </c>
      <c r="E183" s="140" t="s">
        <v>549</v>
      </c>
      <c r="F183" s="176">
        <v>16032326.280000001</v>
      </c>
      <c r="G183" s="139">
        <v>73</v>
      </c>
      <c r="H183" s="153"/>
      <c r="I183" s="154"/>
    </row>
    <row r="184" spans="2:9">
      <c r="B184" s="138" t="s">
        <v>312</v>
      </c>
      <c r="C184" s="139" t="s">
        <v>548</v>
      </c>
      <c r="D184" s="169" t="s">
        <v>102</v>
      </c>
      <c r="E184" s="140" t="s">
        <v>549</v>
      </c>
      <c r="F184" s="176">
        <v>7881050.8300000001</v>
      </c>
      <c r="G184" s="139">
        <v>47</v>
      </c>
      <c r="H184" s="153"/>
      <c r="I184" s="154"/>
    </row>
    <row r="185" spans="2:9">
      <c r="B185" s="138" t="s">
        <v>575</v>
      </c>
      <c r="C185" s="139" t="s">
        <v>548</v>
      </c>
      <c r="D185" s="169" t="s">
        <v>132</v>
      </c>
      <c r="E185" s="140" t="s">
        <v>547</v>
      </c>
      <c r="F185" s="176">
        <v>3138662.79</v>
      </c>
      <c r="G185" s="139">
        <v>80</v>
      </c>
      <c r="H185" s="153"/>
      <c r="I185" s="154"/>
    </row>
    <row r="186" spans="2:9">
      <c r="B186" s="138" t="s">
        <v>620</v>
      </c>
      <c r="C186" s="139" t="s">
        <v>548</v>
      </c>
      <c r="D186" s="169" t="s">
        <v>156</v>
      </c>
      <c r="E186" s="140" t="s">
        <v>547</v>
      </c>
      <c r="F186" s="176">
        <v>2597736.88</v>
      </c>
      <c r="G186" s="139">
        <v>50</v>
      </c>
      <c r="H186" s="153"/>
      <c r="I186" s="154"/>
    </row>
    <row r="187" spans="2:9">
      <c r="B187" s="138" t="s">
        <v>314</v>
      </c>
      <c r="C187" s="139" t="s">
        <v>548</v>
      </c>
      <c r="D187" s="169" t="s">
        <v>124</v>
      </c>
      <c r="E187" s="140" t="s">
        <v>547</v>
      </c>
      <c r="F187" s="176">
        <v>3120247.1599999997</v>
      </c>
      <c r="G187" s="139">
        <v>41</v>
      </c>
      <c r="H187" s="153"/>
      <c r="I187" s="154"/>
    </row>
    <row r="188" spans="2:9">
      <c r="B188" s="138" t="s">
        <v>315</v>
      </c>
      <c r="C188" s="139" t="s">
        <v>548</v>
      </c>
      <c r="D188" s="169" t="s">
        <v>122</v>
      </c>
      <c r="E188" s="140" t="s">
        <v>549</v>
      </c>
      <c r="F188" s="176">
        <v>19918524.619999997</v>
      </c>
      <c r="G188" s="139">
        <v>80</v>
      </c>
      <c r="H188" s="153"/>
      <c r="I188" s="154"/>
    </row>
    <row r="189" spans="2:9">
      <c r="B189" s="138" t="s">
        <v>316</v>
      </c>
      <c r="C189" s="139" t="s">
        <v>548</v>
      </c>
      <c r="D189" s="169" t="s">
        <v>130</v>
      </c>
      <c r="E189" s="140" t="s">
        <v>549</v>
      </c>
      <c r="F189" s="176">
        <v>8408465.2599999998</v>
      </c>
      <c r="G189" s="139">
        <v>70</v>
      </c>
      <c r="H189" s="153"/>
      <c r="I189" s="154"/>
    </row>
    <row r="190" spans="2:9">
      <c r="B190" s="138" t="s">
        <v>317</v>
      </c>
      <c r="C190" s="139" t="s">
        <v>548</v>
      </c>
      <c r="D190" s="169" t="s">
        <v>116</v>
      </c>
      <c r="E190" s="140" t="s">
        <v>547</v>
      </c>
      <c r="F190" s="176">
        <v>21607673.960000001</v>
      </c>
      <c r="G190" s="139">
        <v>90</v>
      </c>
      <c r="H190" s="153"/>
      <c r="I190" s="154"/>
    </row>
    <row r="191" spans="2:9">
      <c r="B191" s="138" t="s">
        <v>318</v>
      </c>
      <c r="C191" s="139" t="s">
        <v>550</v>
      </c>
      <c r="D191" s="169" t="s">
        <v>118</v>
      </c>
      <c r="E191" s="140" t="s">
        <v>547</v>
      </c>
      <c r="F191" s="176">
        <v>367332.02</v>
      </c>
      <c r="G191" s="139">
        <v>10</v>
      </c>
      <c r="H191" s="153"/>
      <c r="I191" s="154"/>
    </row>
    <row r="192" spans="2:9">
      <c r="B192" s="138" t="s">
        <v>319</v>
      </c>
      <c r="C192" s="139" t="s">
        <v>550</v>
      </c>
      <c r="D192" s="169" t="s">
        <v>135</v>
      </c>
      <c r="E192" s="140" t="s">
        <v>549</v>
      </c>
      <c r="F192" s="176">
        <v>7094135.8499999996</v>
      </c>
      <c r="G192" s="139">
        <v>65</v>
      </c>
      <c r="H192" s="153"/>
      <c r="I192" s="154"/>
    </row>
    <row r="193" spans="2:9">
      <c r="B193" s="138" t="s">
        <v>320</v>
      </c>
      <c r="C193" s="139" t="s">
        <v>548</v>
      </c>
      <c r="D193" s="169" t="s">
        <v>154</v>
      </c>
      <c r="E193" s="140" t="s">
        <v>547</v>
      </c>
      <c r="F193" s="176">
        <v>7024255.9800000004</v>
      </c>
      <c r="G193" s="139">
        <v>91</v>
      </c>
      <c r="H193" s="153"/>
      <c r="I193" s="154"/>
    </row>
    <row r="194" spans="2:9">
      <c r="B194" s="138" t="s">
        <v>321</v>
      </c>
      <c r="C194" s="139" t="s">
        <v>548</v>
      </c>
      <c r="D194" s="169" t="s">
        <v>154</v>
      </c>
      <c r="E194" s="140" t="s">
        <v>547</v>
      </c>
      <c r="F194" s="176">
        <v>6694761.9199999999</v>
      </c>
      <c r="G194" s="139">
        <v>55</v>
      </c>
      <c r="H194" s="153"/>
      <c r="I194" s="154"/>
    </row>
    <row r="195" spans="2:9">
      <c r="B195" s="138" t="s">
        <v>621</v>
      </c>
      <c r="C195" s="139" t="s">
        <v>550</v>
      </c>
      <c r="D195" s="169" t="s">
        <v>121</v>
      </c>
      <c r="E195" s="140" t="s">
        <v>547</v>
      </c>
      <c r="F195" s="176">
        <v>2696033.05</v>
      </c>
      <c r="G195" s="139">
        <v>36</v>
      </c>
      <c r="H195" s="153"/>
      <c r="I195" s="154"/>
    </row>
    <row r="196" spans="2:9">
      <c r="B196" s="138" t="s">
        <v>322</v>
      </c>
      <c r="C196" s="139" t="s">
        <v>550</v>
      </c>
      <c r="D196" s="169" t="s">
        <v>121</v>
      </c>
      <c r="E196" s="140" t="s">
        <v>547</v>
      </c>
      <c r="F196" s="176">
        <v>8199035.0399999991</v>
      </c>
      <c r="G196" s="139">
        <v>83</v>
      </c>
      <c r="H196" s="153"/>
      <c r="I196" s="154"/>
    </row>
    <row r="197" spans="2:9">
      <c r="B197" s="138" t="s">
        <v>323</v>
      </c>
      <c r="C197" s="139" t="s">
        <v>548</v>
      </c>
      <c r="D197" s="169" t="s">
        <v>154</v>
      </c>
      <c r="E197" s="140" t="s">
        <v>549</v>
      </c>
      <c r="F197" s="176">
        <v>13991616.239999998</v>
      </c>
      <c r="G197" s="139">
        <v>65</v>
      </c>
      <c r="H197" s="153"/>
      <c r="I197" s="154"/>
    </row>
    <row r="198" spans="2:9">
      <c r="B198" s="138" t="s">
        <v>592</v>
      </c>
      <c r="C198" s="139" t="s">
        <v>550</v>
      </c>
      <c r="D198" s="169" t="s">
        <v>126</v>
      </c>
      <c r="E198" s="140" t="s">
        <v>547</v>
      </c>
      <c r="F198" s="176">
        <v>4675620.96</v>
      </c>
      <c r="G198" s="139">
        <v>42</v>
      </c>
      <c r="H198" s="153"/>
      <c r="I198" s="154"/>
    </row>
    <row r="199" spans="2:9">
      <c r="B199" s="138" t="s">
        <v>324</v>
      </c>
      <c r="C199" s="139" t="s">
        <v>548</v>
      </c>
      <c r="D199" s="169" t="s">
        <v>154</v>
      </c>
      <c r="E199" s="140" t="s">
        <v>547</v>
      </c>
      <c r="F199" s="176">
        <v>7254687</v>
      </c>
      <c r="G199" s="139">
        <v>70</v>
      </c>
      <c r="H199" s="153"/>
      <c r="I199" s="154"/>
    </row>
    <row r="200" spans="2:9">
      <c r="B200" s="138" t="s">
        <v>325</v>
      </c>
      <c r="C200" s="139" t="s">
        <v>548</v>
      </c>
      <c r="D200" s="169" t="s">
        <v>97</v>
      </c>
      <c r="E200" s="140" t="s">
        <v>549</v>
      </c>
      <c r="F200" s="176">
        <v>10887970.73</v>
      </c>
      <c r="G200" s="139">
        <v>100</v>
      </c>
      <c r="H200" s="153"/>
      <c r="I200" s="154"/>
    </row>
    <row r="201" spans="2:9">
      <c r="B201" s="138" t="s">
        <v>326</v>
      </c>
      <c r="C201" s="139" t="s">
        <v>550</v>
      </c>
      <c r="D201" s="169" t="s">
        <v>117</v>
      </c>
      <c r="E201" s="140" t="s">
        <v>549</v>
      </c>
      <c r="F201" s="176">
        <v>4461098.82</v>
      </c>
      <c r="G201" s="139">
        <v>47</v>
      </c>
      <c r="H201" s="153"/>
      <c r="I201" s="154"/>
    </row>
    <row r="202" spans="2:9">
      <c r="B202" s="138" t="s">
        <v>327</v>
      </c>
      <c r="C202" s="139" t="s">
        <v>548</v>
      </c>
      <c r="D202" s="169" t="s">
        <v>109</v>
      </c>
      <c r="E202" s="140" t="s">
        <v>549</v>
      </c>
      <c r="F202" s="176">
        <v>4571282.76</v>
      </c>
      <c r="G202" s="139">
        <v>46</v>
      </c>
      <c r="H202" s="153"/>
      <c r="I202" s="154"/>
    </row>
    <row r="203" spans="2:9">
      <c r="B203" s="138" t="s">
        <v>328</v>
      </c>
      <c r="C203" s="139" t="s">
        <v>550</v>
      </c>
      <c r="D203" s="169" t="s">
        <v>115</v>
      </c>
      <c r="E203" s="140" t="s">
        <v>547</v>
      </c>
      <c r="F203" s="176">
        <v>3167319.07</v>
      </c>
      <c r="G203" s="139">
        <v>60</v>
      </c>
      <c r="H203" s="153"/>
      <c r="I203" s="154"/>
    </row>
    <row r="204" spans="2:9">
      <c r="B204" s="138" t="s">
        <v>329</v>
      </c>
      <c r="C204" s="139" t="s">
        <v>548</v>
      </c>
      <c r="D204" s="169" t="s">
        <v>111</v>
      </c>
      <c r="E204" s="140" t="s">
        <v>547</v>
      </c>
      <c r="F204" s="176">
        <v>2101852.62</v>
      </c>
      <c r="G204" s="139">
        <v>29</v>
      </c>
      <c r="H204" s="153"/>
      <c r="I204" s="154"/>
    </row>
    <row r="205" spans="2:9">
      <c r="B205" s="138" t="s">
        <v>330</v>
      </c>
      <c r="C205" s="139" t="s">
        <v>548</v>
      </c>
      <c r="D205" s="169" t="s">
        <v>103</v>
      </c>
      <c r="E205" s="140" t="s">
        <v>549</v>
      </c>
      <c r="F205" s="176">
        <v>25075271.060000002</v>
      </c>
      <c r="G205" s="139">
        <v>86</v>
      </c>
      <c r="H205" s="153"/>
      <c r="I205" s="154"/>
    </row>
    <row r="206" spans="2:9">
      <c r="B206" s="138" t="s">
        <v>622</v>
      </c>
      <c r="C206" s="139" t="s">
        <v>548</v>
      </c>
      <c r="D206" s="169" t="s">
        <v>137</v>
      </c>
      <c r="E206" s="140" t="s">
        <v>547</v>
      </c>
      <c r="F206" s="176">
        <v>3324355.7</v>
      </c>
      <c r="G206" s="139">
        <v>39</v>
      </c>
      <c r="H206" s="153"/>
      <c r="I206" s="154"/>
    </row>
    <row r="207" spans="2:9">
      <c r="B207" s="138" t="s">
        <v>331</v>
      </c>
      <c r="C207" s="139" t="s">
        <v>548</v>
      </c>
      <c r="D207" s="169" t="s">
        <v>103</v>
      </c>
      <c r="E207" s="140" t="s">
        <v>549</v>
      </c>
      <c r="F207" s="176">
        <v>6760596.6500000004</v>
      </c>
      <c r="G207" s="139">
        <v>50</v>
      </c>
      <c r="H207" s="153"/>
      <c r="I207" s="154"/>
    </row>
    <row r="208" spans="2:9">
      <c r="B208" s="138" t="s">
        <v>332</v>
      </c>
      <c r="C208" s="139" t="s">
        <v>550</v>
      </c>
      <c r="D208" s="169" t="s">
        <v>21</v>
      </c>
      <c r="E208" s="140" t="s">
        <v>547</v>
      </c>
      <c r="F208" s="176">
        <v>2372650.42</v>
      </c>
      <c r="G208" s="139">
        <v>45</v>
      </c>
      <c r="H208" s="153"/>
      <c r="I208" s="154"/>
    </row>
    <row r="209" spans="2:9">
      <c r="B209" s="138" t="s">
        <v>333</v>
      </c>
      <c r="C209" s="139" t="s">
        <v>548</v>
      </c>
      <c r="D209" s="169" t="s">
        <v>116</v>
      </c>
      <c r="E209" s="140" t="s">
        <v>549</v>
      </c>
      <c r="F209" s="176">
        <v>24109336.039999999</v>
      </c>
      <c r="G209" s="139">
        <v>89</v>
      </c>
      <c r="H209" s="153"/>
      <c r="I209" s="154"/>
    </row>
    <row r="210" spans="2:9">
      <c r="B210" s="138" t="s">
        <v>334</v>
      </c>
      <c r="C210" s="139" t="s">
        <v>550</v>
      </c>
      <c r="D210" s="169" t="s">
        <v>135</v>
      </c>
      <c r="E210" s="140" t="s">
        <v>547</v>
      </c>
      <c r="F210" s="176">
        <v>7300897.1899999995</v>
      </c>
      <c r="G210" s="139">
        <v>76</v>
      </c>
      <c r="H210" s="153"/>
      <c r="I210" s="154"/>
    </row>
    <row r="211" spans="2:9">
      <c r="B211" s="138" t="s">
        <v>335</v>
      </c>
      <c r="C211" s="139" t="s">
        <v>548</v>
      </c>
      <c r="D211" s="169" t="s">
        <v>140</v>
      </c>
      <c r="E211" s="140" t="s">
        <v>549</v>
      </c>
      <c r="F211" s="176">
        <v>5606699.6899999995</v>
      </c>
      <c r="G211" s="139">
        <v>33</v>
      </c>
      <c r="H211" s="153"/>
      <c r="I211" s="154"/>
    </row>
    <row r="212" spans="2:9">
      <c r="B212" s="138" t="s">
        <v>336</v>
      </c>
      <c r="C212" s="139" t="s">
        <v>548</v>
      </c>
      <c r="D212" s="169" t="s">
        <v>140</v>
      </c>
      <c r="E212" s="140" t="s">
        <v>549</v>
      </c>
      <c r="F212" s="176">
        <v>1277452.48</v>
      </c>
      <c r="G212" s="139">
        <v>40</v>
      </c>
      <c r="H212" s="153"/>
      <c r="I212" s="154"/>
    </row>
    <row r="213" spans="2:9">
      <c r="B213" s="138" t="s">
        <v>337</v>
      </c>
      <c r="C213" s="139" t="s">
        <v>548</v>
      </c>
      <c r="D213" s="169" t="s">
        <v>125</v>
      </c>
      <c r="E213" s="140" t="s">
        <v>547</v>
      </c>
      <c r="F213" s="176">
        <v>9239764.8000000007</v>
      </c>
      <c r="G213" s="139">
        <v>100</v>
      </c>
      <c r="H213" s="153"/>
      <c r="I213" s="154"/>
    </row>
    <row r="214" spans="2:9">
      <c r="B214" s="138" t="s">
        <v>338</v>
      </c>
      <c r="C214" s="139" t="s">
        <v>548</v>
      </c>
      <c r="D214" s="169" t="s">
        <v>125</v>
      </c>
      <c r="E214" s="140" t="s">
        <v>549</v>
      </c>
      <c r="F214" s="176">
        <v>8568474.1099999994</v>
      </c>
      <c r="G214" s="139">
        <v>77</v>
      </c>
      <c r="H214" s="153"/>
      <c r="I214" s="154"/>
    </row>
    <row r="215" spans="2:9">
      <c r="B215" s="138" t="s">
        <v>339</v>
      </c>
      <c r="C215" s="139" t="s">
        <v>548</v>
      </c>
      <c r="D215" s="169" t="s">
        <v>120</v>
      </c>
      <c r="E215" s="140" t="s">
        <v>547</v>
      </c>
      <c r="F215" s="176">
        <v>4491394.83</v>
      </c>
      <c r="G215" s="139">
        <v>61</v>
      </c>
      <c r="H215" s="153"/>
      <c r="I215" s="154"/>
    </row>
    <row r="216" spans="2:9">
      <c r="B216" s="138" t="s">
        <v>340</v>
      </c>
      <c r="C216" s="139" t="s">
        <v>550</v>
      </c>
      <c r="D216" s="169" t="s">
        <v>146</v>
      </c>
      <c r="E216" s="140" t="s">
        <v>549</v>
      </c>
      <c r="F216" s="176">
        <v>2092449.9299999997</v>
      </c>
      <c r="G216" s="139">
        <v>16</v>
      </c>
      <c r="H216" s="153"/>
      <c r="I216" s="154"/>
    </row>
    <row r="217" spans="2:9">
      <c r="B217" s="138" t="s">
        <v>341</v>
      </c>
      <c r="C217" s="139" t="s">
        <v>550</v>
      </c>
      <c r="D217" s="169" t="s">
        <v>105</v>
      </c>
      <c r="E217" s="140" t="s">
        <v>547</v>
      </c>
      <c r="F217" s="176">
        <v>4693029.8599999994</v>
      </c>
      <c r="G217" s="139">
        <v>65</v>
      </c>
      <c r="H217" s="153"/>
      <c r="I217" s="154"/>
    </row>
    <row r="218" spans="2:9">
      <c r="B218" s="138" t="s">
        <v>342</v>
      </c>
      <c r="C218" s="139" t="s">
        <v>550</v>
      </c>
      <c r="D218" s="169" t="s">
        <v>128</v>
      </c>
      <c r="E218" s="140" t="s">
        <v>547</v>
      </c>
      <c r="F218" s="176">
        <v>1977561.92</v>
      </c>
      <c r="G218" s="139">
        <v>25</v>
      </c>
      <c r="H218" s="153"/>
      <c r="I218" s="154"/>
    </row>
    <row r="219" spans="2:9">
      <c r="B219" s="138" t="s">
        <v>623</v>
      </c>
      <c r="C219" s="139" t="s">
        <v>550</v>
      </c>
      <c r="D219" s="169" t="s">
        <v>128</v>
      </c>
      <c r="E219" s="140" t="s">
        <v>547</v>
      </c>
      <c r="F219" s="176">
        <v>2303501.48</v>
      </c>
      <c r="G219" s="139">
        <v>28</v>
      </c>
      <c r="H219" s="153"/>
      <c r="I219" s="154"/>
    </row>
    <row r="220" spans="2:9">
      <c r="B220" s="138" t="s">
        <v>343</v>
      </c>
      <c r="C220" s="139" t="s">
        <v>550</v>
      </c>
      <c r="D220" s="169" t="s">
        <v>110</v>
      </c>
      <c r="E220" s="140" t="s">
        <v>547</v>
      </c>
      <c r="F220" s="176">
        <v>4647982.18</v>
      </c>
      <c r="G220" s="139">
        <v>63</v>
      </c>
      <c r="H220" s="153"/>
      <c r="I220" s="154"/>
    </row>
    <row r="221" spans="2:9">
      <c r="B221" s="138" t="s">
        <v>624</v>
      </c>
      <c r="C221" s="139" t="s">
        <v>550</v>
      </c>
      <c r="D221" s="169" t="s">
        <v>110</v>
      </c>
      <c r="E221" s="140" t="s">
        <v>547</v>
      </c>
      <c r="F221" s="176">
        <v>2603954.67</v>
      </c>
      <c r="G221" s="139">
        <v>35</v>
      </c>
      <c r="H221" s="153"/>
      <c r="I221" s="154"/>
    </row>
    <row r="222" spans="2:9">
      <c r="B222" s="138" t="s">
        <v>344</v>
      </c>
      <c r="C222" s="139" t="s">
        <v>550</v>
      </c>
      <c r="D222" s="169" t="s">
        <v>151</v>
      </c>
      <c r="E222" s="140" t="s">
        <v>547</v>
      </c>
      <c r="F222" s="176">
        <v>917416.28</v>
      </c>
      <c r="G222" s="139">
        <v>33</v>
      </c>
      <c r="H222" s="153"/>
      <c r="I222" s="154"/>
    </row>
    <row r="223" spans="2:9">
      <c r="B223" s="138" t="s">
        <v>345</v>
      </c>
      <c r="C223" s="139" t="s">
        <v>548</v>
      </c>
      <c r="D223" s="169" t="s">
        <v>153</v>
      </c>
      <c r="E223" s="140" t="s">
        <v>547</v>
      </c>
      <c r="F223" s="176">
        <v>2075330.44</v>
      </c>
      <c r="G223" s="139">
        <v>36</v>
      </c>
      <c r="H223" s="153"/>
      <c r="I223" s="154"/>
    </row>
    <row r="224" spans="2:9">
      <c r="B224" s="138" t="s">
        <v>346</v>
      </c>
      <c r="C224" s="139" t="s">
        <v>548</v>
      </c>
      <c r="D224" s="169" t="s">
        <v>111</v>
      </c>
      <c r="E224" s="140" t="s">
        <v>549</v>
      </c>
      <c r="F224" s="176">
        <v>9206829.0099999998</v>
      </c>
      <c r="G224" s="139">
        <v>62</v>
      </c>
      <c r="H224" s="153"/>
      <c r="I224" s="154"/>
    </row>
    <row r="225" spans="2:9">
      <c r="B225" s="138" t="s">
        <v>347</v>
      </c>
      <c r="C225" s="139" t="s">
        <v>550</v>
      </c>
      <c r="D225" s="169" t="s">
        <v>117</v>
      </c>
      <c r="E225" s="140" t="s">
        <v>549</v>
      </c>
      <c r="F225" s="176">
        <v>2859813.95</v>
      </c>
      <c r="G225" s="139">
        <v>40</v>
      </c>
      <c r="H225" s="153"/>
      <c r="I225" s="154"/>
    </row>
    <row r="226" spans="2:9">
      <c r="B226" s="138" t="s">
        <v>348</v>
      </c>
      <c r="C226" s="139" t="s">
        <v>550</v>
      </c>
      <c r="D226" s="169" t="s">
        <v>117</v>
      </c>
      <c r="E226" s="140" t="s">
        <v>547</v>
      </c>
      <c r="F226" s="176">
        <v>2798820.4000000004</v>
      </c>
      <c r="G226" s="139">
        <v>50</v>
      </c>
      <c r="H226" s="153"/>
      <c r="I226" s="154"/>
    </row>
    <row r="227" spans="2:9">
      <c r="B227" s="138" t="s">
        <v>625</v>
      </c>
      <c r="C227" s="139" t="s">
        <v>550</v>
      </c>
      <c r="D227" s="169" t="s">
        <v>146</v>
      </c>
      <c r="E227" s="140" t="s">
        <v>547</v>
      </c>
      <c r="F227" s="176">
        <v>3382028.42</v>
      </c>
      <c r="G227" s="139">
        <v>44</v>
      </c>
      <c r="H227" s="153"/>
      <c r="I227" s="154"/>
    </row>
    <row r="228" spans="2:9">
      <c r="B228" s="138" t="s">
        <v>349</v>
      </c>
      <c r="C228" s="139" t="s">
        <v>550</v>
      </c>
      <c r="D228" s="169" t="s">
        <v>117</v>
      </c>
      <c r="E228" s="140" t="s">
        <v>547</v>
      </c>
      <c r="F228" s="176">
        <v>4877910.6099999994</v>
      </c>
      <c r="G228" s="139">
        <v>42</v>
      </c>
      <c r="H228" s="153"/>
      <c r="I228" s="154"/>
    </row>
    <row r="229" spans="2:9">
      <c r="B229" s="138" t="s">
        <v>350</v>
      </c>
      <c r="C229" s="139" t="s">
        <v>548</v>
      </c>
      <c r="D229" s="169" t="s">
        <v>137</v>
      </c>
      <c r="E229" s="140" t="s">
        <v>549</v>
      </c>
      <c r="F229" s="176">
        <v>4150801.7800000003</v>
      </c>
      <c r="G229" s="139">
        <v>38</v>
      </c>
      <c r="H229" s="153"/>
      <c r="I229" s="154"/>
    </row>
    <row r="230" spans="2:9">
      <c r="B230" s="138" t="s">
        <v>351</v>
      </c>
      <c r="C230" s="139" t="s">
        <v>548</v>
      </c>
      <c r="D230" s="169" t="s">
        <v>124</v>
      </c>
      <c r="E230" s="140" t="s">
        <v>549</v>
      </c>
      <c r="F230" s="176">
        <v>5209256.9700000007</v>
      </c>
      <c r="G230" s="139">
        <v>49</v>
      </c>
      <c r="H230" s="153"/>
      <c r="I230" s="154"/>
    </row>
    <row r="231" spans="2:9">
      <c r="B231" s="138" t="s">
        <v>352</v>
      </c>
      <c r="C231" s="139" t="s">
        <v>550</v>
      </c>
      <c r="D231" s="169" t="s">
        <v>117</v>
      </c>
      <c r="E231" s="140" t="s">
        <v>549</v>
      </c>
      <c r="F231" s="176">
        <v>6766566.6599999992</v>
      </c>
      <c r="G231" s="139">
        <v>60</v>
      </c>
      <c r="H231" s="153"/>
      <c r="I231" s="154"/>
    </row>
    <row r="232" spans="2:9">
      <c r="B232" s="138" t="s">
        <v>353</v>
      </c>
      <c r="C232" s="139" t="s">
        <v>550</v>
      </c>
      <c r="D232" s="169" t="s">
        <v>148</v>
      </c>
      <c r="E232" s="140" t="s">
        <v>549</v>
      </c>
      <c r="F232" s="176">
        <v>671156.94</v>
      </c>
      <c r="G232" s="139">
        <v>10</v>
      </c>
      <c r="H232" s="153"/>
      <c r="I232" s="154"/>
    </row>
    <row r="233" spans="2:9">
      <c r="B233" s="138" t="s">
        <v>354</v>
      </c>
      <c r="C233" s="139" t="s">
        <v>548</v>
      </c>
      <c r="D233" s="169" t="s">
        <v>97</v>
      </c>
      <c r="E233" s="140" t="s">
        <v>549</v>
      </c>
      <c r="F233" s="176">
        <v>7773545.0899999999</v>
      </c>
      <c r="G233" s="139">
        <v>85</v>
      </c>
      <c r="H233" s="153"/>
      <c r="I233" s="154"/>
    </row>
    <row r="234" spans="2:9">
      <c r="B234" s="138" t="s">
        <v>355</v>
      </c>
      <c r="C234" s="139" t="s">
        <v>548</v>
      </c>
      <c r="D234" s="169" t="s">
        <v>107</v>
      </c>
      <c r="E234" s="140" t="s">
        <v>549</v>
      </c>
      <c r="F234" s="176">
        <v>13125629.049999999</v>
      </c>
      <c r="G234" s="139">
        <v>55</v>
      </c>
      <c r="H234" s="153"/>
      <c r="I234" s="154"/>
    </row>
    <row r="235" spans="2:9">
      <c r="B235" s="138" t="s">
        <v>356</v>
      </c>
      <c r="C235" s="139" t="s">
        <v>548</v>
      </c>
      <c r="D235" s="169" t="s">
        <v>133</v>
      </c>
      <c r="E235" s="140" t="s">
        <v>549</v>
      </c>
      <c r="F235" s="176">
        <v>16320955.120000001</v>
      </c>
      <c r="G235" s="139">
        <v>82</v>
      </c>
      <c r="H235" s="153"/>
      <c r="I235" s="154"/>
    </row>
    <row r="236" spans="2:9">
      <c r="B236" s="138" t="s">
        <v>357</v>
      </c>
      <c r="C236" s="139" t="s">
        <v>550</v>
      </c>
      <c r="D236" s="169" t="s">
        <v>158</v>
      </c>
      <c r="E236" s="140" t="s">
        <v>549</v>
      </c>
      <c r="F236" s="176">
        <v>4789398.1400000006</v>
      </c>
      <c r="G236" s="139">
        <v>31</v>
      </c>
      <c r="H236" s="153"/>
      <c r="I236" s="154"/>
    </row>
    <row r="237" spans="2:9">
      <c r="B237" s="138" t="s">
        <v>358</v>
      </c>
      <c r="C237" s="139" t="s">
        <v>550</v>
      </c>
      <c r="D237" s="169" t="s">
        <v>151</v>
      </c>
      <c r="E237" s="140" t="s">
        <v>547</v>
      </c>
      <c r="F237" s="176">
        <v>3915850.8600000003</v>
      </c>
      <c r="G237" s="139">
        <v>35</v>
      </c>
      <c r="H237" s="153"/>
      <c r="I237" s="154"/>
    </row>
    <row r="238" spans="2:9">
      <c r="B238" s="138" t="s">
        <v>731</v>
      </c>
      <c r="C238" s="139" t="s">
        <v>550</v>
      </c>
      <c r="D238" s="169" t="s">
        <v>135</v>
      </c>
      <c r="E238" s="140" t="s">
        <v>549</v>
      </c>
      <c r="F238" s="176">
        <v>784273.3899999999</v>
      </c>
      <c r="G238" s="139">
        <v>24</v>
      </c>
      <c r="H238" s="153"/>
      <c r="I238" s="154"/>
    </row>
    <row r="239" spans="2:9">
      <c r="B239" s="138" t="s">
        <v>359</v>
      </c>
      <c r="C239" s="139" t="s">
        <v>548</v>
      </c>
      <c r="D239" s="169" t="s">
        <v>132</v>
      </c>
      <c r="E239" s="140" t="s">
        <v>549</v>
      </c>
      <c r="F239" s="176">
        <v>14537750.449999999</v>
      </c>
      <c r="G239" s="139">
        <v>80</v>
      </c>
      <c r="H239" s="153"/>
      <c r="I239" s="154"/>
    </row>
    <row r="240" spans="2:9">
      <c r="B240" s="138" t="s">
        <v>626</v>
      </c>
      <c r="C240" s="139" t="s">
        <v>548</v>
      </c>
      <c r="D240" s="169" t="s">
        <v>147</v>
      </c>
      <c r="E240" s="140" t="s">
        <v>549</v>
      </c>
      <c r="F240" s="176">
        <v>3156701.9699999997</v>
      </c>
      <c r="G240" s="139">
        <v>30</v>
      </c>
      <c r="H240" s="153"/>
      <c r="I240" s="154"/>
    </row>
    <row r="241" spans="2:9">
      <c r="B241" s="138" t="s">
        <v>360</v>
      </c>
      <c r="C241" s="139" t="s">
        <v>548</v>
      </c>
      <c r="D241" s="169" t="s">
        <v>131</v>
      </c>
      <c r="E241" s="140" t="s">
        <v>549</v>
      </c>
      <c r="F241" s="176">
        <v>9051055.459999999</v>
      </c>
      <c r="G241" s="139">
        <v>72</v>
      </c>
      <c r="H241" s="153"/>
      <c r="I241" s="154"/>
    </row>
    <row r="242" spans="2:9">
      <c r="B242" s="138" t="s">
        <v>361</v>
      </c>
      <c r="C242" s="139" t="s">
        <v>548</v>
      </c>
      <c r="D242" s="169" t="s">
        <v>129</v>
      </c>
      <c r="E242" s="140" t="s">
        <v>547</v>
      </c>
      <c r="F242" s="176">
        <v>3039788.13</v>
      </c>
      <c r="G242" s="139">
        <v>90</v>
      </c>
      <c r="H242" s="153"/>
      <c r="I242" s="154"/>
    </row>
    <row r="243" spans="2:9">
      <c r="B243" s="138" t="s">
        <v>362</v>
      </c>
      <c r="C243" s="139" t="s">
        <v>550</v>
      </c>
      <c r="D243" s="169" t="s">
        <v>23</v>
      </c>
      <c r="E243" s="140" t="s">
        <v>547</v>
      </c>
      <c r="F243" s="176">
        <v>1912151.0499999998</v>
      </c>
      <c r="G243" s="139">
        <v>40</v>
      </c>
      <c r="H243" s="153"/>
      <c r="I243" s="154"/>
    </row>
    <row r="244" spans="2:9">
      <c r="B244" s="138" t="s">
        <v>365</v>
      </c>
      <c r="C244" s="139" t="s">
        <v>550</v>
      </c>
      <c r="D244" s="169" t="s">
        <v>19</v>
      </c>
      <c r="E244" s="140" t="s">
        <v>547</v>
      </c>
      <c r="F244" s="176">
        <v>2136006.1899999995</v>
      </c>
      <c r="G244" s="139">
        <v>40</v>
      </c>
      <c r="H244" s="153"/>
      <c r="I244" s="154"/>
    </row>
    <row r="245" spans="2:9">
      <c r="B245" s="138" t="s">
        <v>366</v>
      </c>
      <c r="C245" s="139" t="s">
        <v>550</v>
      </c>
      <c r="D245" s="169" t="s">
        <v>19</v>
      </c>
      <c r="E245" s="140" t="s">
        <v>547</v>
      </c>
      <c r="F245" s="176">
        <v>6871380.4299999997</v>
      </c>
      <c r="G245" s="139">
        <v>59</v>
      </c>
      <c r="H245" s="153"/>
      <c r="I245" s="154"/>
    </row>
    <row r="246" spans="2:9">
      <c r="B246" s="138" t="s">
        <v>367</v>
      </c>
      <c r="C246" s="139" t="s">
        <v>548</v>
      </c>
      <c r="D246" s="169" t="s">
        <v>136</v>
      </c>
      <c r="E246" s="140" t="s">
        <v>549</v>
      </c>
      <c r="F246" s="176">
        <v>12302506.880000001</v>
      </c>
      <c r="G246" s="139">
        <v>75</v>
      </c>
      <c r="H246" s="153"/>
      <c r="I246" s="154"/>
    </row>
    <row r="247" spans="2:9">
      <c r="B247" s="138" t="s">
        <v>368</v>
      </c>
      <c r="C247" s="139" t="s">
        <v>550</v>
      </c>
      <c r="D247" s="169" t="s">
        <v>146</v>
      </c>
      <c r="E247" s="140" t="s">
        <v>549</v>
      </c>
      <c r="F247" s="176">
        <v>1262860.6499999999</v>
      </c>
      <c r="G247" s="139">
        <v>20</v>
      </c>
      <c r="H247" s="153"/>
      <c r="I247" s="154"/>
    </row>
    <row r="248" spans="2:9" ht="12.75" customHeight="1">
      <c r="B248" s="138" t="s">
        <v>369</v>
      </c>
      <c r="C248" s="139" t="s">
        <v>548</v>
      </c>
      <c r="D248" s="169" t="s">
        <v>112</v>
      </c>
      <c r="E248" s="140" t="s">
        <v>549</v>
      </c>
      <c r="F248" s="176">
        <v>3483153.65</v>
      </c>
      <c r="G248" s="139">
        <v>45</v>
      </c>
      <c r="H248" s="153"/>
      <c r="I248" s="154"/>
    </row>
    <row r="249" spans="2:9">
      <c r="B249" s="138" t="s">
        <v>370</v>
      </c>
      <c r="C249" s="139" t="s">
        <v>548</v>
      </c>
      <c r="D249" s="169" t="s">
        <v>122</v>
      </c>
      <c r="E249" s="140" t="s">
        <v>549</v>
      </c>
      <c r="F249" s="176">
        <v>11686464.780000001</v>
      </c>
      <c r="G249" s="139">
        <v>70</v>
      </c>
      <c r="H249" s="153"/>
      <c r="I249" s="154"/>
    </row>
    <row r="250" spans="2:9">
      <c r="B250" s="138" t="s">
        <v>371</v>
      </c>
      <c r="C250" s="139" t="s">
        <v>548</v>
      </c>
      <c r="D250" s="169" t="s">
        <v>133</v>
      </c>
      <c r="E250" s="140" t="s">
        <v>547</v>
      </c>
      <c r="F250" s="176">
        <v>8052361.0999999996</v>
      </c>
      <c r="G250" s="139">
        <v>90</v>
      </c>
      <c r="H250" s="153"/>
      <c r="I250" s="154"/>
    </row>
    <row r="251" spans="2:9">
      <c r="B251" s="138" t="s">
        <v>701</v>
      </c>
      <c r="C251" s="139" t="s">
        <v>548</v>
      </c>
      <c r="D251" s="169" t="s">
        <v>133</v>
      </c>
      <c r="E251" s="140" t="s">
        <v>547</v>
      </c>
      <c r="F251" s="176">
        <v>10550133.49</v>
      </c>
      <c r="G251" s="139">
        <v>80</v>
      </c>
      <c r="H251" s="153"/>
      <c r="I251" s="154"/>
    </row>
    <row r="252" spans="2:9">
      <c r="B252" s="138" t="s">
        <v>627</v>
      </c>
      <c r="C252" s="139" t="s">
        <v>548</v>
      </c>
      <c r="D252" s="169" t="s">
        <v>124</v>
      </c>
      <c r="E252" s="140" t="s">
        <v>547</v>
      </c>
      <c r="F252" s="176">
        <v>526639.32000000007</v>
      </c>
      <c r="G252" s="139">
        <v>25</v>
      </c>
      <c r="H252" s="153"/>
      <c r="I252" s="154"/>
    </row>
    <row r="253" spans="2:9">
      <c r="B253" s="138" t="s">
        <v>372</v>
      </c>
      <c r="C253" s="139" t="s">
        <v>550</v>
      </c>
      <c r="D253" s="169" t="s">
        <v>134</v>
      </c>
      <c r="E253" s="140" t="s">
        <v>547</v>
      </c>
      <c r="F253" s="176">
        <v>1390792.85</v>
      </c>
      <c r="G253" s="139">
        <v>20</v>
      </c>
      <c r="H253" s="153"/>
      <c r="I253" s="154"/>
    </row>
    <row r="254" spans="2:9">
      <c r="B254" s="138" t="s">
        <v>373</v>
      </c>
      <c r="C254" s="139" t="s">
        <v>550</v>
      </c>
      <c r="D254" s="169" t="s">
        <v>96</v>
      </c>
      <c r="E254" s="140" t="s">
        <v>547</v>
      </c>
      <c r="F254" s="176">
        <v>2808641.86</v>
      </c>
      <c r="G254" s="139">
        <v>32</v>
      </c>
      <c r="H254" s="153"/>
      <c r="I254" s="154"/>
    </row>
    <row r="255" spans="2:9">
      <c r="B255" s="138" t="s">
        <v>375</v>
      </c>
      <c r="C255" s="139" t="s">
        <v>550</v>
      </c>
      <c r="D255" s="169" t="s">
        <v>134</v>
      </c>
      <c r="E255" s="140" t="s">
        <v>549</v>
      </c>
      <c r="F255" s="176">
        <v>16426995.140000001</v>
      </c>
      <c r="G255" s="139">
        <v>75</v>
      </c>
      <c r="H255" s="153"/>
      <c r="I255" s="154"/>
    </row>
    <row r="256" spans="2:9">
      <c r="B256" s="138" t="s">
        <v>376</v>
      </c>
      <c r="C256" s="139" t="s">
        <v>550</v>
      </c>
      <c r="D256" s="169" t="s">
        <v>134</v>
      </c>
      <c r="E256" s="140" t="s">
        <v>547</v>
      </c>
      <c r="F256" s="176">
        <v>689303.95</v>
      </c>
      <c r="G256" s="139">
        <v>20</v>
      </c>
      <c r="H256" s="153"/>
      <c r="I256" s="154"/>
    </row>
    <row r="257" spans="2:9">
      <c r="B257" s="138" t="s">
        <v>628</v>
      </c>
      <c r="C257" s="139" t="s">
        <v>550</v>
      </c>
      <c r="D257" s="169" t="s">
        <v>134</v>
      </c>
      <c r="E257" s="140" t="s">
        <v>547</v>
      </c>
      <c r="F257" s="176">
        <v>8093125.2599999998</v>
      </c>
      <c r="G257" s="139">
        <v>45</v>
      </c>
      <c r="H257" s="153"/>
      <c r="I257" s="154"/>
    </row>
    <row r="258" spans="2:9">
      <c r="B258" s="138" t="s">
        <v>558</v>
      </c>
      <c r="C258" s="139" t="s">
        <v>550</v>
      </c>
      <c r="D258" s="169" t="s">
        <v>134</v>
      </c>
      <c r="E258" s="140" t="s">
        <v>547</v>
      </c>
      <c r="F258" s="176">
        <v>9102439.9000000004</v>
      </c>
      <c r="G258" s="139">
        <v>67</v>
      </c>
      <c r="H258" s="153"/>
      <c r="I258" s="154"/>
    </row>
    <row r="259" spans="2:9">
      <c r="B259" s="138" t="s">
        <v>377</v>
      </c>
      <c r="C259" s="139" t="s">
        <v>548</v>
      </c>
      <c r="D259" s="169" t="s">
        <v>120</v>
      </c>
      <c r="E259" s="140" t="s">
        <v>549</v>
      </c>
      <c r="F259" s="176">
        <v>13530848.25</v>
      </c>
      <c r="G259" s="139">
        <v>70</v>
      </c>
      <c r="H259" s="153"/>
      <c r="I259" s="154"/>
    </row>
    <row r="260" spans="2:9">
      <c r="B260" s="138" t="s">
        <v>378</v>
      </c>
      <c r="C260" s="139" t="s">
        <v>548</v>
      </c>
      <c r="D260" s="169" t="s">
        <v>31</v>
      </c>
      <c r="E260" s="140" t="s">
        <v>549</v>
      </c>
      <c r="F260" s="176">
        <v>6579515.1699999999</v>
      </c>
      <c r="G260" s="139">
        <v>60</v>
      </c>
      <c r="H260" s="153"/>
      <c r="I260" s="154"/>
    </row>
    <row r="261" spans="2:9">
      <c r="B261" s="138" t="s">
        <v>379</v>
      </c>
      <c r="C261" s="139" t="s">
        <v>550</v>
      </c>
      <c r="D261" s="169" t="s">
        <v>110</v>
      </c>
      <c r="E261" s="140" t="s">
        <v>549</v>
      </c>
      <c r="F261" s="176">
        <v>1429281.4000000001</v>
      </c>
      <c r="G261" s="139">
        <v>16</v>
      </c>
      <c r="H261" s="153"/>
      <c r="I261" s="154"/>
    </row>
    <row r="262" spans="2:9">
      <c r="B262" s="138" t="s">
        <v>380</v>
      </c>
      <c r="C262" s="139" t="s">
        <v>550</v>
      </c>
      <c r="D262" s="169" t="s">
        <v>126</v>
      </c>
      <c r="E262" s="140" t="s">
        <v>549</v>
      </c>
      <c r="F262" s="176">
        <v>1171146.79</v>
      </c>
      <c r="G262" s="139">
        <v>22</v>
      </c>
      <c r="H262" s="153"/>
      <c r="I262" s="154"/>
    </row>
    <row r="263" spans="2:9">
      <c r="B263" s="138" t="s">
        <v>381</v>
      </c>
      <c r="C263" s="139" t="s">
        <v>550</v>
      </c>
      <c r="D263" s="169" t="s">
        <v>126</v>
      </c>
      <c r="E263" s="140" t="s">
        <v>547</v>
      </c>
      <c r="F263" s="176">
        <v>9115131.4800000004</v>
      </c>
      <c r="G263" s="139">
        <v>75</v>
      </c>
      <c r="H263" s="153"/>
      <c r="I263" s="154"/>
    </row>
    <row r="264" spans="2:9">
      <c r="B264" s="138" t="s">
        <v>629</v>
      </c>
      <c r="C264" s="139" t="s">
        <v>550</v>
      </c>
      <c r="D264" s="169" t="s">
        <v>126</v>
      </c>
      <c r="E264" s="140" t="s">
        <v>547</v>
      </c>
      <c r="F264" s="176">
        <v>3872098.8899999997</v>
      </c>
      <c r="G264" s="139">
        <v>45</v>
      </c>
      <c r="H264" s="153"/>
      <c r="I264" s="154"/>
    </row>
    <row r="265" spans="2:9">
      <c r="B265" s="138" t="s">
        <v>382</v>
      </c>
      <c r="C265" s="139" t="s">
        <v>548</v>
      </c>
      <c r="D265" s="169" t="s">
        <v>136</v>
      </c>
      <c r="E265" s="140" t="s">
        <v>549</v>
      </c>
      <c r="F265" s="176">
        <v>4938008.38</v>
      </c>
      <c r="G265" s="139">
        <v>44</v>
      </c>
      <c r="H265" s="153"/>
      <c r="I265" s="154"/>
    </row>
    <row r="266" spans="2:9">
      <c r="B266" s="138" t="s">
        <v>383</v>
      </c>
      <c r="C266" s="139" t="s">
        <v>548</v>
      </c>
      <c r="D266" s="169" t="s">
        <v>156</v>
      </c>
      <c r="E266" s="140" t="s">
        <v>547</v>
      </c>
      <c r="F266" s="176">
        <v>1626713.4699999997</v>
      </c>
      <c r="G266" s="139">
        <v>40</v>
      </c>
      <c r="H266" s="153"/>
      <c r="I266" s="154"/>
    </row>
    <row r="267" spans="2:9">
      <c r="B267" s="138" t="s">
        <v>630</v>
      </c>
      <c r="C267" s="139" t="s">
        <v>548</v>
      </c>
      <c r="D267" s="169" t="s">
        <v>97</v>
      </c>
      <c r="E267" s="140" t="s">
        <v>547</v>
      </c>
      <c r="F267" s="176">
        <v>2064611.47</v>
      </c>
      <c r="G267" s="139">
        <v>50</v>
      </c>
      <c r="H267" s="153"/>
      <c r="I267" s="154"/>
    </row>
    <row r="268" spans="2:9">
      <c r="B268" s="138" t="s">
        <v>384</v>
      </c>
      <c r="C268" s="139" t="s">
        <v>548</v>
      </c>
      <c r="D268" s="169" t="s">
        <v>137</v>
      </c>
      <c r="E268" s="140" t="s">
        <v>547</v>
      </c>
      <c r="F268" s="176">
        <v>3358297.05</v>
      </c>
      <c r="G268" s="139">
        <v>105</v>
      </c>
      <c r="H268" s="153"/>
      <c r="I268" s="154"/>
    </row>
    <row r="269" spans="2:9">
      <c r="B269" s="138" t="s">
        <v>385</v>
      </c>
      <c r="C269" s="139" t="s">
        <v>550</v>
      </c>
      <c r="D269" s="169" t="s">
        <v>118</v>
      </c>
      <c r="E269" s="140" t="s">
        <v>547</v>
      </c>
      <c r="F269" s="176">
        <v>3005445.45</v>
      </c>
      <c r="G269" s="139">
        <v>40</v>
      </c>
      <c r="H269" s="153"/>
      <c r="I269" s="154"/>
    </row>
    <row r="270" spans="2:9">
      <c r="B270" s="138" t="s">
        <v>387</v>
      </c>
      <c r="C270" s="139" t="s">
        <v>548</v>
      </c>
      <c r="D270" s="169" t="s">
        <v>139</v>
      </c>
      <c r="E270" s="140" t="s">
        <v>549</v>
      </c>
      <c r="F270" s="176">
        <v>7005894.5500000007</v>
      </c>
      <c r="G270" s="139">
        <v>70</v>
      </c>
      <c r="H270" s="153"/>
      <c r="I270" s="154"/>
    </row>
    <row r="271" spans="2:9">
      <c r="B271" s="138" t="s">
        <v>388</v>
      </c>
      <c r="C271" s="139" t="s">
        <v>548</v>
      </c>
      <c r="D271" s="169" t="s">
        <v>140</v>
      </c>
      <c r="E271" s="140" t="s">
        <v>549</v>
      </c>
      <c r="F271" s="176">
        <v>3090740.4800000004</v>
      </c>
      <c r="G271" s="139">
        <v>40</v>
      </c>
      <c r="H271" s="153"/>
      <c r="I271" s="154"/>
    </row>
    <row r="272" spans="2:9">
      <c r="B272" s="138" t="s">
        <v>389</v>
      </c>
      <c r="C272" s="139" t="s">
        <v>550</v>
      </c>
      <c r="D272" s="169" t="s">
        <v>126</v>
      </c>
      <c r="E272" s="140" t="s">
        <v>547</v>
      </c>
      <c r="F272" s="176">
        <v>2430122.64</v>
      </c>
      <c r="G272" s="139">
        <v>69</v>
      </c>
      <c r="H272" s="153"/>
      <c r="I272" s="154"/>
    </row>
    <row r="273" spans="2:9">
      <c r="B273" s="138" t="s">
        <v>390</v>
      </c>
      <c r="C273" s="139" t="s">
        <v>550</v>
      </c>
      <c r="D273" s="169" t="s">
        <v>126</v>
      </c>
      <c r="E273" s="140" t="s">
        <v>547</v>
      </c>
      <c r="F273" s="176">
        <v>2089994.72</v>
      </c>
      <c r="G273" s="139">
        <v>35</v>
      </c>
      <c r="H273" s="153"/>
      <c r="I273" s="154"/>
    </row>
    <row r="274" spans="2:9">
      <c r="B274" s="138" t="s">
        <v>391</v>
      </c>
      <c r="C274" s="139" t="s">
        <v>550</v>
      </c>
      <c r="D274" s="169" t="s">
        <v>126</v>
      </c>
      <c r="E274" s="140" t="s">
        <v>549</v>
      </c>
      <c r="F274" s="176">
        <v>1718898.25</v>
      </c>
      <c r="G274" s="139">
        <v>15</v>
      </c>
      <c r="H274" s="153"/>
      <c r="I274" s="154"/>
    </row>
    <row r="275" spans="2:9">
      <c r="B275" s="138" t="s">
        <v>631</v>
      </c>
      <c r="C275" s="139" t="s">
        <v>550</v>
      </c>
      <c r="D275" s="169" t="s">
        <v>126</v>
      </c>
      <c r="E275" s="140" t="s">
        <v>547</v>
      </c>
      <c r="F275" s="176">
        <v>4943639.83</v>
      </c>
      <c r="G275" s="139">
        <v>46</v>
      </c>
      <c r="H275" s="153"/>
      <c r="I275" s="154"/>
    </row>
    <row r="276" spans="2:9">
      <c r="B276" s="138" t="s">
        <v>392</v>
      </c>
      <c r="C276" s="139" t="s">
        <v>548</v>
      </c>
      <c r="D276" s="169" t="s">
        <v>107</v>
      </c>
      <c r="E276" s="140" t="s">
        <v>549</v>
      </c>
      <c r="F276" s="176">
        <v>13569985.259999998</v>
      </c>
      <c r="G276" s="139">
        <v>70</v>
      </c>
      <c r="H276" s="153"/>
      <c r="I276" s="154"/>
    </row>
    <row r="277" spans="2:9">
      <c r="B277" s="138" t="s">
        <v>393</v>
      </c>
      <c r="C277" s="139" t="s">
        <v>548</v>
      </c>
      <c r="D277" s="169" t="s">
        <v>136</v>
      </c>
      <c r="E277" s="140" t="s">
        <v>549</v>
      </c>
      <c r="F277" s="176">
        <v>8842057.9600000009</v>
      </c>
      <c r="G277" s="139">
        <v>62</v>
      </c>
      <c r="H277" s="153"/>
      <c r="I277" s="154"/>
    </row>
    <row r="278" spans="2:9">
      <c r="B278" s="138" t="s">
        <v>394</v>
      </c>
      <c r="C278" s="139" t="s">
        <v>548</v>
      </c>
      <c r="D278" s="169" t="s">
        <v>136</v>
      </c>
      <c r="E278" s="140" t="s">
        <v>547</v>
      </c>
      <c r="F278" s="176">
        <v>12722314.800000001</v>
      </c>
      <c r="G278" s="139">
        <v>105</v>
      </c>
      <c r="H278" s="153"/>
      <c r="I278" s="154"/>
    </row>
    <row r="279" spans="2:9">
      <c r="B279" s="138" t="s">
        <v>582</v>
      </c>
      <c r="C279" s="139" t="s">
        <v>548</v>
      </c>
      <c r="D279" s="169" t="s">
        <v>137</v>
      </c>
      <c r="E279" s="140" t="s">
        <v>547</v>
      </c>
      <c r="F279" s="176">
        <v>5921178.5700000003</v>
      </c>
      <c r="G279" s="139">
        <v>80</v>
      </c>
      <c r="H279" s="153"/>
      <c r="I279" s="154"/>
    </row>
    <row r="280" spans="2:9">
      <c r="B280" s="138" t="s">
        <v>583</v>
      </c>
      <c r="C280" s="139" t="s">
        <v>548</v>
      </c>
      <c r="D280" s="169" t="s">
        <v>136</v>
      </c>
      <c r="E280" s="140" t="s">
        <v>547</v>
      </c>
      <c r="F280" s="176">
        <v>9897271.9000000004</v>
      </c>
      <c r="G280" s="139">
        <v>92</v>
      </c>
      <c r="H280" s="153"/>
      <c r="I280" s="154"/>
    </row>
    <row r="281" spans="2:9">
      <c r="B281" s="138" t="s">
        <v>395</v>
      </c>
      <c r="C281" s="139" t="s">
        <v>550</v>
      </c>
      <c r="D281" s="169" t="s">
        <v>95</v>
      </c>
      <c r="E281" s="140" t="s">
        <v>547</v>
      </c>
      <c r="F281" s="176">
        <v>1292670.69</v>
      </c>
      <c r="G281" s="139">
        <v>40</v>
      </c>
      <c r="H281" s="153"/>
      <c r="I281" s="154"/>
    </row>
    <row r="282" spans="2:9">
      <c r="B282" s="138" t="s">
        <v>396</v>
      </c>
      <c r="C282" s="139" t="s">
        <v>550</v>
      </c>
      <c r="D282" s="169" t="s">
        <v>29</v>
      </c>
      <c r="E282" s="140" t="s">
        <v>547</v>
      </c>
      <c r="F282" s="176">
        <v>2666719.25</v>
      </c>
      <c r="G282" s="139">
        <v>32</v>
      </c>
      <c r="H282" s="153"/>
      <c r="I282" s="154"/>
    </row>
    <row r="283" spans="2:9">
      <c r="B283" s="138" t="s">
        <v>33</v>
      </c>
      <c r="C283" s="139" t="s">
        <v>548</v>
      </c>
      <c r="D283" s="169" t="s">
        <v>100</v>
      </c>
      <c r="E283" s="140" t="s">
        <v>549</v>
      </c>
      <c r="F283" s="176">
        <v>3006607.54</v>
      </c>
      <c r="G283" s="139">
        <v>50</v>
      </c>
      <c r="H283" s="153"/>
      <c r="I283" s="154"/>
    </row>
    <row r="284" spans="2:9">
      <c r="B284" s="138" t="s">
        <v>584</v>
      </c>
      <c r="C284" s="139" t="s">
        <v>550</v>
      </c>
      <c r="D284" s="169" t="s">
        <v>126</v>
      </c>
      <c r="E284" s="140" t="s">
        <v>547</v>
      </c>
      <c r="F284" s="176">
        <v>1215700.3700000001</v>
      </c>
      <c r="G284" s="139">
        <v>23</v>
      </c>
      <c r="H284" s="153"/>
      <c r="I284" s="154"/>
    </row>
    <row r="285" spans="2:9">
      <c r="B285" s="138" t="s">
        <v>397</v>
      </c>
      <c r="C285" s="139" t="s">
        <v>548</v>
      </c>
      <c r="D285" s="169" t="s">
        <v>137</v>
      </c>
      <c r="E285" s="140" t="s">
        <v>549</v>
      </c>
      <c r="F285" s="176">
        <v>10592238.460000001</v>
      </c>
      <c r="G285" s="139">
        <v>68</v>
      </c>
      <c r="H285" s="153"/>
      <c r="I285" s="154"/>
    </row>
    <row r="286" spans="2:9">
      <c r="B286" s="138" t="s">
        <v>702</v>
      </c>
      <c r="C286" s="139" t="s">
        <v>548</v>
      </c>
      <c r="D286" s="169" t="s">
        <v>120</v>
      </c>
      <c r="E286" s="140" t="s">
        <v>547</v>
      </c>
      <c r="F286" s="176">
        <v>6603470.46</v>
      </c>
      <c r="G286" s="139">
        <v>66</v>
      </c>
      <c r="H286" s="153"/>
      <c r="I286" s="154"/>
    </row>
    <row r="287" spans="2:9">
      <c r="B287" s="138" t="s">
        <v>398</v>
      </c>
      <c r="C287" s="139" t="s">
        <v>548</v>
      </c>
      <c r="D287" s="169" t="s">
        <v>116</v>
      </c>
      <c r="E287" s="140" t="s">
        <v>547</v>
      </c>
      <c r="F287" s="176">
        <v>6506059.5600000005</v>
      </c>
      <c r="G287" s="139">
        <v>50</v>
      </c>
      <c r="H287" s="153"/>
      <c r="I287" s="154"/>
    </row>
    <row r="288" spans="2:9">
      <c r="B288" s="138" t="s">
        <v>632</v>
      </c>
      <c r="C288" s="139" t="s">
        <v>548</v>
      </c>
      <c r="D288" s="169" t="s">
        <v>116</v>
      </c>
      <c r="E288" s="140" t="s">
        <v>547</v>
      </c>
      <c r="F288" s="176">
        <v>4014619.79</v>
      </c>
      <c r="G288" s="139">
        <v>35</v>
      </c>
      <c r="H288" s="153"/>
      <c r="I288" s="154"/>
    </row>
    <row r="289" spans="2:9">
      <c r="B289" s="138" t="s">
        <v>399</v>
      </c>
      <c r="C289" s="139" t="s">
        <v>550</v>
      </c>
      <c r="D289" s="169" t="s">
        <v>117</v>
      </c>
      <c r="E289" s="140" t="s">
        <v>549</v>
      </c>
      <c r="F289" s="176">
        <v>9110489.8900000006</v>
      </c>
      <c r="G289" s="139">
        <v>84</v>
      </c>
      <c r="H289" s="153"/>
      <c r="I289" s="154"/>
    </row>
    <row r="290" spans="2:9">
      <c r="B290" s="138" t="s">
        <v>400</v>
      </c>
      <c r="C290" s="139" t="s">
        <v>550</v>
      </c>
      <c r="D290" s="169" t="s">
        <v>96</v>
      </c>
      <c r="E290" s="140" t="s">
        <v>547</v>
      </c>
      <c r="F290" s="176">
        <v>4821169.34</v>
      </c>
      <c r="G290" s="139">
        <v>70</v>
      </c>
      <c r="H290" s="153"/>
      <c r="I290" s="154"/>
    </row>
    <row r="291" spans="2:9">
      <c r="B291" s="138" t="s">
        <v>401</v>
      </c>
      <c r="C291" s="139" t="s">
        <v>548</v>
      </c>
      <c r="D291" s="169" t="s">
        <v>139</v>
      </c>
      <c r="E291" s="140" t="s">
        <v>547</v>
      </c>
      <c r="F291" s="176">
        <v>3906068.84</v>
      </c>
      <c r="G291" s="139">
        <v>85</v>
      </c>
      <c r="H291" s="153"/>
      <c r="I291" s="154"/>
    </row>
    <row r="292" spans="2:9">
      <c r="B292" s="138" t="s">
        <v>402</v>
      </c>
      <c r="C292" s="139" t="s">
        <v>550</v>
      </c>
      <c r="D292" s="169" t="s">
        <v>24</v>
      </c>
      <c r="E292" s="140" t="s">
        <v>547</v>
      </c>
      <c r="F292" s="176">
        <v>2435028.21</v>
      </c>
      <c r="G292" s="139">
        <v>60</v>
      </c>
      <c r="H292" s="153"/>
      <c r="I292" s="154"/>
    </row>
    <row r="293" spans="2:9">
      <c r="B293" s="138" t="s">
        <v>403</v>
      </c>
      <c r="C293" s="139" t="s">
        <v>548</v>
      </c>
      <c r="D293" s="169" t="s">
        <v>136</v>
      </c>
      <c r="E293" s="140" t="s">
        <v>549</v>
      </c>
      <c r="F293" s="176">
        <v>4799415.1199999992</v>
      </c>
      <c r="G293" s="139">
        <v>45</v>
      </c>
      <c r="H293" s="153"/>
      <c r="I293" s="154"/>
    </row>
    <row r="294" spans="2:9">
      <c r="B294" s="138" t="s">
        <v>404</v>
      </c>
      <c r="C294" s="139" t="s">
        <v>550</v>
      </c>
      <c r="D294" s="169" t="s">
        <v>117</v>
      </c>
      <c r="E294" s="140" t="s">
        <v>547</v>
      </c>
      <c r="F294" s="176">
        <v>4863190.05</v>
      </c>
      <c r="G294" s="139">
        <v>60</v>
      </c>
      <c r="H294" s="153"/>
      <c r="I294" s="154"/>
    </row>
    <row r="295" spans="2:9">
      <c r="B295" s="138" t="s">
        <v>405</v>
      </c>
      <c r="C295" s="139" t="s">
        <v>548</v>
      </c>
      <c r="D295" s="169" t="s">
        <v>97</v>
      </c>
      <c r="E295" s="140" t="s">
        <v>549</v>
      </c>
      <c r="F295" s="176">
        <v>11102810.859999999</v>
      </c>
      <c r="G295" s="139">
        <v>92</v>
      </c>
      <c r="H295" s="153"/>
      <c r="I295" s="154"/>
    </row>
    <row r="296" spans="2:9">
      <c r="B296" s="138" t="s">
        <v>406</v>
      </c>
      <c r="C296" s="139" t="s">
        <v>548</v>
      </c>
      <c r="D296" s="169" t="s">
        <v>156</v>
      </c>
      <c r="E296" s="140" t="s">
        <v>549</v>
      </c>
      <c r="F296" s="176">
        <v>3360577.84</v>
      </c>
      <c r="G296" s="139">
        <v>47</v>
      </c>
      <c r="H296" s="153"/>
      <c r="I296" s="154"/>
    </row>
    <row r="297" spans="2:9">
      <c r="B297" s="138" t="s">
        <v>407</v>
      </c>
      <c r="C297" s="139" t="s">
        <v>548</v>
      </c>
      <c r="D297" s="169" t="s">
        <v>122</v>
      </c>
      <c r="E297" s="140" t="s">
        <v>549</v>
      </c>
      <c r="F297" s="176">
        <v>6491182.5499999998</v>
      </c>
      <c r="G297" s="139">
        <v>43</v>
      </c>
      <c r="H297" s="153"/>
      <c r="I297" s="154"/>
    </row>
    <row r="298" spans="2:9">
      <c r="B298" s="138" t="s">
        <v>408</v>
      </c>
      <c r="C298" s="139" t="s">
        <v>548</v>
      </c>
      <c r="D298" s="169" t="s">
        <v>109</v>
      </c>
      <c r="E298" s="140" t="s">
        <v>549</v>
      </c>
      <c r="F298" s="176">
        <v>11391336.16</v>
      </c>
      <c r="G298" s="139">
        <v>80</v>
      </c>
      <c r="H298" s="153"/>
      <c r="I298" s="154"/>
    </row>
    <row r="299" spans="2:9">
      <c r="B299" s="138" t="s">
        <v>409</v>
      </c>
      <c r="C299" s="139" t="s">
        <v>550</v>
      </c>
      <c r="D299" s="169" t="s">
        <v>134</v>
      </c>
      <c r="E299" s="140" t="s">
        <v>547</v>
      </c>
      <c r="F299" s="176">
        <v>356268.75</v>
      </c>
      <c r="G299" s="139">
        <v>5</v>
      </c>
      <c r="H299" s="153"/>
      <c r="I299" s="154"/>
    </row>
    <row r="300" spans="2:9">
      <c r="B300" s="138" t="s">
        <v>410</v>
      </c>
      <c r="C300" s="139" t="s">
        <v>548</v>
      </c>
      <c r="D300" s="169" t="s">
        <v>106</v>
      </c>
      <c r="E300" s="140" t="s">
        <v>549</v>
      </c>
      <c r="F300" s="176">
        <v>6636172.8199999994</v>
      </c>
      <c r="G300" s="139">
        <v>70</v>
      </c>
      <c r="H300" s="153"/>
      <c r="I300" s="154"/>
    </row>
    <row r="301" spans="2:9">
      <c r="B301" s="138" t="s">
        <v>411</v>
      </c>
      <c r="C301" s="139" t="s">
        <v>548</v>
      </c>
      <c r="D301" s="169" t="s">
        <v>102</v>
      </c>
      <c r="E301" s="140" t="s">
        <v>549</v>
      </c>
      <c r="F301" s="176">
        <v>4647960.4700000007</v>
      </c>
      <c r="G301" s="139">
        <v>40</v>
      </c>
      <c r="H301" s="153"/>
      <c r="I301" s="154"/>
    </row>
    <row r="302" spans="2:9">
      <c r="B302" s="138" t="s">
        <v>412</v>
      </c>
      <c r="C302" s="139" t="s">
        <v>548</v>
      </c>
      <c r="D302" s="169" t="s">
        <v>32</v>
      </c>
      <c r="E302" s="140" t="s">
        <v>549</v>
      </c>
      <c r="F302" s="176">
        <v>2345497.12</v>
      </c>
      <c r="G302" s="139">
        <v>30</v>
      </c>
      <c r="H302" s="153"/>
      <c r="I302" s="154"/>
    </row>
    <row r="303" spans="2:9">
      <c r="B303" s="138" t="s">
        <v>633</v>
      </c>
      <c r="C303" s="139" t="s">
        <v>548</v>
      </c>
      <c r="D303" s="169" t="s">
        <v>139</v>
      </c>
      <c r="E303" s="140" t="s">
        <v>547</v>
      </c>
      <c r="F303" s="176">
        <v>2141008.7400000002</v>
      </c>
      <c r="G303" s="139">
        <v>47</v>
      </c>
      <c r="H303" s="153"/>
      <c r="I303" s="154"/>
    </row>
    <row r="304" spans="2:9">
      <c r="B304" s="138" t="s">
        <v>413</v>
      </c>
      <c r="C304" s="139" t="s">
        <v>548</v>
      </c>
      <c r="D304" s="169" t="s">
        <v>139</v>
      </c>
      <c r="E304" s="140" t="s">
        <v>549</v>
      </c>
      <c r="F304" s="176">
        <v>6385811.0800000001</v>
      </c>
      <c r="G304" s="139">
        <v>42</v>
      </c>
      <c r="H304" s="153"/>
      <c r="I304" s="154"/>
    </row>
    <row r="305" spans="2:9">
      <c r="B305" s="138" t="s">
        <v>414</v>
      </c>
      <c r="C305" s="139" t="s">
        <v>548</v>
      </c>
      <c r="D305" s="169" t="s">
        <v>140</v>
      </c>
      <c r="E305" s="140" t="s">
        <v>547</v>
      </c>
      <c r="F305" s="176">
        <v>2710541.5</v>
      </c>
      <c r="G305" s="139">
        <v>35</v>
      </c>
      <c r="H305" s="153"/>
      <c r="I305" s="154"/>
    </row>
    <row r="306" spans="2:9">
      <c r="B306" s="138" t="s">
        <v>415</v>
      </c>
      <c r="C306" s="139" t="s">
        <v>550</v>
      </c>
      <c r="D306" s="169" t="s">
        <v>117</v>
      </c>
      <c r="E306" s="140" t="s">
        <v>549</v>
      </c>
      <c r="F306" s="176">
        <v>7030720.8300000001</v>
      </c>
      <c r="G306" s="139">
        <v>55</v>
      </c>
      <c r="H306" s="153"/>
      <c r="I306" s="154"/>
    </row>
    <row r="307" spans="2:9">
      <c r="B307" s="138" t="s">
        <v>416</v>
      </c>
      <c r="C307" s="139" t="s">
        <v>550</v>
      </c>
      <c r="D307" s="169" t="s">
        <v>118</v>
      </c>
      <c r="E307" s="140" t="s">
        <v>549</v>
      </c>
      <c r="F307" s="176">
        <v>2476418.8000000003</v>
      </c>
      <c r="G307" s="139">
        <v>20</v>
      </c>
      <c r="H307" s="153"/>
      <c r="I307" s="154"/>
    </row>
    <row r="308" spans="2:9">
      <c r="B308" s="138" t="s">
        <v>634</v>
      </c>
      <c r="C308" s="139" t="s">
        <v>550</v>
      </c>
      <c r="D308" s="169" t="s">
        <v>98</v>
      </c>
      <c r="E308" s="140" t="s">
        <v>547</v>
      </c>
      <c r="F308" s="176">
        <v>7716577.9199999999</v>
      </c>
      <c r="G308" s="139">
        <v>58</v>
      </c>
      <c r="H308" s="153"/>
      <c r="I308" s="154"/>
    </row>
    <row r="309" spans="2:9">
      <c r="B309" s="138" t="s">
        <v>417</v>
      </c>
      <c r="C309" s="139" t="s">
        <v>550</v>
      </c>
      <c r="D309" s="169" t="s">
        <v>117</v>
      </c>
      <c r="E309" s="140" t="s">
        <v>549</v>
      </c>
      <c r="F309" s="176">
        <v>2842470.2300000004</v>
      </c>
      <c r="G309" s="139">
        <v>28</v>
      </c>
      <c r="H309" s="153"/>
      <c r="I309" s="154"/>
    </row>
    <row r="310" spans="2:9">
      <c r="B310" s="138" t="s">
        <v>418</v>
      </c>
      <c r="C310" s="139" t="s">
        <v>548</v>
      </c>
      <c r="D310" s="169" t="s">
        <v>111</v>
      </c>
      <c r="E310" s="140" t="s">
        <v>549</v>
      </c>
      <c r="F310" s="176">
        <v>4572895.1899999995</v>
      </c>
      <c r="G310" s="139">
        <v>58</v>
      </c>
      <c r="H310" s="153"/>
      <c r="I310" s="154"/>
    </row>
    <row r="311" spans="2:9">
      <c r="B311" s="138" t="s">
        <v>419</v>
      </c>
      <c r="C311" s="139" t="s">
        <v>550</v>
      </c>
      <c r="D311" s="169" t="s">
        <v>150</v>
      </c>
      <c r="E311" s="140" t="s">
        <v>549</v>
      </c>
      <c r="F311" s="176">
        <v>4225604.79</v>
      </c>
      <c r="G311" s="139">
        <v>44</v>
      </c>
      <c r="H311" s="153"/>
      <c r="I311" s="154"/>
    </row>
    <row r="312" spans="2:9">
      <c r="B312" s="138" t="s">
        <v>420</v>
      </c>
      <c r="C312" s="139" t="s">
        <v>548</v>
      </c>
      <c r="D312" s="169" t="s">
        <v>116</v>
      </c>
      <c r="E312" s="140" t="s">
        <v>549</v>
      </c>
      <c r="F312" s="176">
        <v>3134552.1100000003</v>
      </c>
      <c r="G312" s="139">
        <v>25</v>
      </c>
      <c r="H312" s="153"/>
      <c r="I312" s="154"/>
    </row>
    <row r="313" spans="2:9">
      <c r="B313" s="138" t="s">
        <v>421</v>
      </c>
      <c r="C313" s="139" t="s">
        <v>548</v>
      </c>
      <c r="D313" s="169" t="s">
        <v>132</v>
      </c>
      <c r="E313" s="140" t="s">
        <v>549</v>
      </c>
      <c r="F313" s="176">
        <v>6621690.4299999997</v>
      </c>
      <c r="G313" s="139">
        <v>69</v>
      </c>
      <c r="H313" s="153"/>
      <c r="I313" s="154"/>
    </row>
    <row r="314" spans="2:9">
      <c r="B314" s="138" t="s">
        <v>422</v>
      </c>
      <c r="C314" s="139" t="s">
        <v>548</v>
      </c>
      <c r="D314" s="169" t="s">
        <v>153</v>
      </c>
      <c r="E314" s="140" t="s">
        <v>549</v>
      </c>
      <c r="F314" s="176">
        <v>26248159.790000003</v>
      </c>
      <c r="G314" s="139">
        <v>100</v>
      </c>
      <c r="H314" s="153"/>
      <c r="I314" s="154"/>
    </row>
    <row r="315" spans="2:9">
      <c r="B315" s="138" t="s">
        <v>423</v>
      </c>
      <c r="C315" s="139" t="s">
        <v>550</v>
      </c>
      <c r="D315" s="169" t="s">
        <v>117</v>
      </c>
      <c r="E315" s="140" t="s">
        <v>547</v>
      </c>
      <c r="F315" s="176">
        <v>1645406.7899999998</v>
      </c>
      <c r="G315" s="139">
        <v>35</v>
      </c>
      <c r="H315" s="153"/>
      <c r="I315" s="154"/>
    </row>
    <row r="316" spans="2:9">
      <c r="B316" s="138" t="s">
        <v>424</v>
      </c>
      <c r="C316" s="139" t="s">
        <v>550</v>
      </c>
      <c r="D316" s="169" t="s">
        <v>117</v>
      </c>
      <c r="E316" s="140" t="s">
        <v>547</v>
      </c>
      <c r="F316" s="176">
        <v>6814143.1100000003</v>
      </c>
      <c r="G316" s="139">
        <v>65</v>
      </c>
      <c r="H316" s="153"/>
      <c r="I316" s="154"/>
    </row>
    <row r="317" spans="2:9">
      <c r="B317" s="138" t="s">
        <v>425</v>
      </c>
      <c r="C317" s="139" t="s">
        <v>550</v>
      </c>
      <c r="D317" s="169" t="s">
        <v>113</v>
      </c>
      <c r="E317" s="140" t="s">
        <v>547</v>
      </c>
      <c r="F317" s="176">
        <v>1042536.76</v>
      </c>
      <c r="G317" s="139">
        <v>25</v>
      </c>
      <c r="H317" s="153"/>
      <c r="I317" s="154"/>
    </row>
    <row r="318" spans="2:9">
      <c r="B318" s="138" t="s">
        <v>703</v>
      </c>
      <c r="C318" s="139" t="s">
        <v>550</v>
      </c>
      <c r="D318" s="169" t="s">
        <v>113</v>
      </c>
      <c r="E318" s="140" t="s">
        <v>547</v>
      </c>
      <c r="F318" s="176">
        <v>2186056.09</v>
      </c>
      <c r="G318" s="139">
        <v>40</v>
      </c>
      <c r="H318" s="153"/>
      <c r="I318" s="154"/>
    </row>
    <row r="319" spans="2:9">
      <c r="B319" s="138" t="s">
        <v>426</v>
      </c>
      <c r="C319" s="139" t="s">
        <v>548</v>
      </c>
      <c r="D319" s="169" t="s">
        <v>130</v>
      </c>
      <c r="E319" s="140" t="s">
        <v>549</v>
      </c>
      <c r="F319" s="176">
        <v>6620991.1600000001</v>
      </c>
      <c r="G319" s="139">
        <v>47</v>
      </c>
      <c r="H319" s="153"/>
      <c r="I319" s="154"/>
    </row>
    <row r="320" spans="2:9">
      <c r="B320" s="138" t="s">
        <v>427</v>
      </c>
      <c r="C320" s="139" t="s">
        <v>548</v>
      </c>
      <c r="D320" s="169" t="s">
        <v>147</v>
      </c>
      <c r="E320" s="140" t="s">
        <v>547</v>
      </c>
      <c r="F320" s="176">
        <v>5717188.0599999996</v>
      </c>
      <c r="G320" s="139">
        <v>81</v>
      </c>
      <c r="H320" s="153"/>
      <c r="I320" s="154"/>
    </row>
    <row r="321" spans="2:9">
      <c r="B321" s="138" t="s">
        <v>428</v>
      </c>
      <c r="C321" s="139" t="s">
        <v>548</v>
      </c>
      <c r="D321" s="169" t="s">
        <v>109</v>
      </c>
      <c r="E321" s="140" t="s">
        <v>549</v>
      </c>
      <c r="F321" s="176">
        <v>3797151.12</v>
      </c>
      <c r="G321" s="139">
        <v>40</v>
      </c>
      <c r="H321" s="153"/>
      <c r="I321" s="154"/>
    </row>
    <row r="322" spans="2:9">
      <c r="B322" s="138" t="s">
        <v>429</v>
      </c>
      <c r="C322" s="139" t="s">
        <v>548</v>
      </c>
      <c r="D322" s="169" t="s">
        <v>107</v>
      </c>
      <c r="E322" s="140" t="s">
        <v>549</v>
      </c>
      <c r="F322" s="176">
        <v>14358194.539999999</v>
      </c>
      <c r="G322" s="139">
        <v>79</v>
      </c>
      <c r="H322" s="153"/>
      <c r="I322" s="154"/>
    </row>
    <row r="323" spans="2:9">
      <c r="B323" s="138" t="s">
        <v>586</v>
      </c>
      <c r="C323" s="139" t="s">
        <v>548</v>
      </c>
      <c r="D323" s="169" t="s">
        <v>132</v>
      </c>
      <c r="E323" s="140" t="s">
        <v>549</v>
      </c>
      <c r="F323" s="176">
        <v>14725530.439999999</v>
      </c>
      <c r="G323" s="139">
        <v>90</v>
      </c>
      <c r="H323" s="153"/>
      <c r="I323" s="154"/>
    </row>
    <row r="324" spans="2:9">
      <c r="B324" s="138" t="s">
        <v>551</v>
      </c>
      <c r="C324" s="139" t="s">
        <v>550</v>
      </c>
      <c r="D324" s="169" t="s">
        <v>27</v>
      </c>
      <c r="E324" s="140" t="s">
        <v>547</v>
      </c>
      <c r="F324" s="176">
        <v>1116607.48</v>
      </c>
      <c r="G324" s="139">
        <v>30</v>
      </c>
      <c r="H324" s="153"/>
      <c r="I324" s="154"/>
    </row>
    <row r="325" spans="2:9">
      <c r="B325" s="138" t="s">
        <v>431</v>
      </c>
      <c r="C325" s="139" t="s">
        <v>548</v>
      </c>
      <c r="D325" s="169" t="s">
        <v>147</v>
      </c>
      <c r="E325" s="140" t="s">
        <v>549</v>
      </c>
      <c r="F325" s="176">
        <v>1951538.35</v>
      </c>
      <c r="G325" s="139">
        <v>40</v>
      </c>
      <c r="H325" s="153"/>
      <c r="I325" s="154"/>
    </row>
    <row r="326" spans="2:9">
      <c r="B326" s="138" t="s">
        <v>432</v>
      </c>
      <c r="C326" s="139" t="s">
        <v>548</v>
      </c>
      <c r="D326" s="169" t="s">
        <v>154</v>
      </c>
      <c r="E326" s="140" t="s">
        <v>549</v>
      </c>
      <c r="F326" s="176">
        <v>5080423.17</v>
      </c>
      <c r="G326" s="139">
        <v>52</v>
      </c>
      <c r="H326" s="153"/>
      <c r="I326" s="154"/>
    </row>
    <row r="327" spans="2:9">
      <c r="B327" s="138" t="s">
        <v>433</v>
      </c>
      <c r="C327" s="139" t="s">
        <v>550</v>
      </c>
      <c r="D327" s="169" t="s">
        <v>158</v>
      </c>
      <c r="E327" s="140" t="s">
        <v>549</v>
      </c>
      <c r="F327" s="176">
        <v>2067884.7499999998</v>
      </c>
      <c r="G327" s="139">
        <v>19</v>
      </c>
      <c r="H327" s="153"/>
      <c r="I327" s="154"/>
    </row>
    <row r="328" spans="2:9">
      <c r="B328" s="138" t="s">
        <v>434</v>
      </c>
      <c r="C328" s="139" t="s">
        <v>550</v>
      </c>
      <c r="D328" s="169" t="s">
        <v>135</v>
      </c>
      <c r="E328" s="140" t="s">
        <v>549</v>
      </c>
      <c r="F328" s="176">
        <v>4824721.92</v>
      </c>
      <c r="G328" s="139">
        <v>33</v>
      </c>
      <c r="H328" s="153"/>
      <c r="I328" s="154"/>
    </row>
    <row r="329" spans="2:9">
      <c r="B329" s="138" t="s">
        <v>435</v>
      </c>
      <c r="C329" s="139" t="s">
        <v>550</v>
      </c>
      <c r="D329" s="169" t="s">
        <v>134</v>
      </c>
      <c r="E329" s="140" t="s">
        <v>547</v>
      </c>
      <c r="F329" s="176">
        <v>3169682.94</v>
      </c>
      <c r="G329" s="139">
        <v>34</v>
      </c>
      <c r="H329" s="153"/>
      <c r="I329" s="154"/>
    </row>
    <row r="330" spans="2:9">
      <c r="B330" s="138" t="s">
        <v>436</v>
      </c>
      <c r="C330" s="139" t="s">
        <v>550</v>
      </c>
      <c r="D330" s="169" t="s">
        <v>96</v>
      </c>
      <c r="E330" s="140" t="s">
        <v>549</v>
      </c>
      <c r="F330" s="176">
        <v>4798300.26</v>
      </c>
      <c r="G330" s="139">
        <v>54</v>
      </c>
      <c r="H330" s="153"/>
      <c r="I330" s="154"/>
    </row>
    <row r="331" spans="2:9">
      <c r="B331" s="138" t="s">
        <v>636</v>
      </c>
      <c r="C331" s="139" t="s">
        <v>548</v>
      </c>
      <c r="D331" s="169" t="s">
        <v>109</v>
      </c>
      <c r="E331" s="140" t="s">
        <v>547</v>
      </c>
      <c r="F331" s="176">
        <v>4082241.81</v>
      </c>
      <c r="G331" s="139">
        <v>68</v>
      </c>
      <c r="H331" s="153"/>
      <c r="I331" s="154"/>
    </row>
    <row r="332" spans="2:9">
      <c r="B332" s="138" t="s">
        <v>437</v>
      </c>
      <c r="C332" s="139" t="s">
        <v>548</v>
      </c>
      <c r="D332" s="169" t="s">
        <v>120</v>
      </c>
      <c r="E332" s="140" t="s">
        <v>549</v>
      </c>
      <c r="F332" s="176">
        <v>2465926.27</v>
      </c>
      <c r="G332" s="139">
        <v>40</v>
      </c>
      <c r="H332" s="153"/>
      <c r="I332" s="154"/>
    </row>
    <row r="333" spans="2:9">
      <c r="B333" s="138" t="s">
        <v>637</v>
      </c>
      <c r="C333" s="139" t="s">
        <v>548</v>
      </c>
      <c r="D333" s="169" t="s">
        <v>131</v>
      </c>
      <c r="E333" s="140" t="s">
        <v>547</v>
      </c>
      <c r="F333" s="176">
        <v>5019476.0999999996</v>
      </c>
      <c r="G333" s="139">
        <v>70</v>
      </c>
      <c r="H333" s="153"/>
      <c r="I333" s="154"/>
    </row>
    <row r="334" spans="2:9">
      <c r="B334" s="138" t="s">
        <v>438</v>
      </c>
      <c r="C334" s="139" t="s">
        <v>550</v>
      </c>
      <c r="D334" s="169" t="s">
        <v>115</v>
      </c>
      <c r="E334" s="140" t="s">
        <v>549</v>
      </c>
      <c r="F334" s="176">
        <v>4348492.8499999996</v>
      </c>
      <c r="G334" s="139">
        <v>35</v>
      </c>
      <c r="H334" s="153"/>
      <c r="I334" s="154"/>
    </row>
    <row r="335" spans="2:9">
      <c r="B335" s="138" t="s">
        <v>439</v>
      </c>
      <c r="C335" s="139" t="s">
        <v>548</v>
      </c>
      <c r="D335" s="169" t="s">
        <v>102</v>
      </c>
      <c r="E335" s="140" t="s">
        <v>549</v>
      </c>
      <c r="F335" s="176">
        <v>4201722.6999999993</v>
      </c>
      <c r="G335" s="139">
        <v>42</v>
      </c>
      <c r="H335" s="153"/>
      <c r="I335" s="154"/>
    </row>
    <row r="336" spans="2:9">
      <c r="B336" s="138" t="s">
        <v>440</v>
      </c>
      <c r="C336" s="139" t="s">
        <v>548</v>
      </c>
      <c r="D336" s="169" t="s">
        <v>111</v>
      </c>
      <c r="E336" s="140" t="s">
        <v>549</v>
      </c>
      <c r="F336" s="176">
        <v>3673649.31</v>
      </c>
      <c r="G336" s="139">
        <v>40</v>
      </c>
      <c r="H336" s="153"/>
      <c r="I336" s="154"/>
    </row>
    <row r="337" spans="2:9">
      <c r="B337" s="138" t="s">
        <v>441</v>
      </c>
      <c r="C337" s="139" t="s">
        <v>550</v>
      </c>
      <c r="D337" s="169" t="s">
        <v>96</v>
      </c>
      <c r="E337" s="140" t="s">
        <v>549</v>
      </c>
      <c r="F337" s="176">
        <v>2187754.7800000003</v>
      </c>
      <c r="G337" s="139">
        <v>28</v>
      </c>
      <c r="H337" s="153"/>
      <c r="I337" s="154"/>
    </row>
    <row r="338" spans="2:9">
      <c r="B338" s="138" t="s">
        <v>442</v>
      </c>
      <c r="C338" s="139" t="s">
        <v>550</v>
      </c>
      <c r="D338" s="169" t="s">
        <v>149</v>
      </c>
      <c r="E338" s="140" t="s">
        <v>547</v>
      </c>
      <c r="F338" s="176">
        <v>4305550.16</v>
      </c>
      <c r="G338" s="139">
        <v>68</v>
      </c>
      <c r="H338" s="153"/>
      <c r="I338" s="154"/>
    </row>
    <row r="339" spans="2:9">
      <c r="B339" s="138" t="s">
        <v>732</v>
      </c>
      <c r="C339" s="139" t="s">
        <v>548</v>
      </c>
      <c r="D339" s="169" t="s">
        <v>109</v>
      </c>
      <c r="E339" s="140" t="s">
        <v>549</v>
      </c>
      <c r="F339" s="176">
        <v>3967333.26</v>
      </c>
      <c r="G339" s="139">
        <v>44</v>
      </c>
      <c r="H339" s="153"/>
      <c r="I339" s="154"/>
    </row>
    <row r="340" spans="2:9">
      <c r="B340" s="138" t="s">
        <v>443</v>
      </c>
      <c r="C340" s="139" t="s">
        <v>548</v>
      </c>
      <c r="D340" s="169" t="s">
        <v>140</v>
      </c>
      <c r="E340" s="140" t="s">
        <v>547</v>
      </c>
      <c r="F340" s="176">
        <v>700018.5</v>
      </c>
      <c r="G340" s="139">
        <v>30</v>
      </c>
      <c r="H340" s="153"/>
      <c r="I340" s="154"/>
    </row>
    <row r="341" spans="2:9">
      <c r="B341" s="138" t="s">
        <v>444</v>
      </c>
      <c r="C341" s="139" t="s">
        <v>548</v>
      </c>
      <c r="D341" s="169" t="s">
        <v>140</v>
      </c>
      <c r="E341" s="140" t="s">
        <v>549</v>
      </c>
      <c r="F341" s="176">
        <v>11871319.469999999</v>
      </c>
      <c r="G341" s="139">
        <v>70</v>
      </c>
      <c r="H341" s="153"/>
      <c r="I341" s="154"/>
    </row>
    <row r="342" spans="2:9">
      <c r="B342" s="138" t="s">
        <v>638</v>
      </c>
      <c r="C342" s="139" t="s">
        <v>548</v>
      </c>
      <c r="D342" s="169" t="s">
        <v>140</v>
      </c>
      <c r="E342" s="140" t="s">
        <v>547</v>
      </c>
      <c r="F342" s="176">
        <v>6225124.6600000001</v>
      </c>
      <c r="G342" s="139">
        <v>75</v>
      </c>
      <c r="H342" s="153"/>
      <c r="I342" s="154"/>
    </row>
    <row r="343" spans="2:9">
      <c r="B343" s="138" t="s">
        <v>445</v>
      </c>
      <c r="C343" s="139" t="s">
        <v>548</v>
      </c>
      <c r="D343" s="169" t="s">
        <v>112</v>
      </c>
      <c r="E343" s="140" t="s">
        <v>549</v>
      </c>
      <c r="F343" s="176">
        <v>19393865.489999998</v>
      </c>
      <c r="G343" s="139">
        <v>103</v>
      </c>
      <c r="H343" s="153"/>
      <c r="I343" s="154"/>
    </row>
    <row r="344" spans="2:9">
      <c r="B344" s="138" t="s">
        <v>446</v>
      </c>
      <c r="C344" s="139" t="s">
        <v>548</v>
      </c>
      <c r="D344" s="169" t="s">
        <v>122</v>
      </c>
      <c r="E344" s="140" t="s">
        <v>549</v>
      </c>
      <c r="F344" s="176">
        <v>23438678.68</v>
      </c>
      <c r="G344" s="139">
        <v>80</v>
      </c>
      <c r="H344" s="153"/>
      <c r="I344" s="154"/>
    </row>
    <row r="345" spans="2:9">
      <c r="B345" s="138" t="s">
        <v>447</v>
      </c>
      <c r="C345" s="139" t="s">
        <v>550</v>
      </c>
      <c r="D345" s="169" t="s">
        <v>126</v>
      </c>
      <c r="E345" s="140" t="s">
        <v>549</v>
      </c>
      <c r="F345" s="176">
        <v>2383033.31</v>
      </c>
      <c r="G345" s="139">
        <v>20</v>
      </c>
      <c r="H345" s="153"/>
      <c r="I345" s="154"/>
    </row>
    <row r="346" spans="2:9">
      <c r="B346" s="138" t="s">
        <v>448</v>
      </c>
      <c r="C346" s="139" t="s">
        <v>550</v>
      </c>
      <c r="D346" s="169" t="s">
        <v>101</v>
      </c>
      <c r="E346" s="140" t="s">
        <v>549</v>
      </c>
      <c r="F346" s="176">
        <v>2984864.25</v>
      </c>
      <c r="G346" s="139">
        <v>30</v>
      </c>
      <c r="H346" s="153"/>
      <c r="I346" s="154"/>
    </row>
    <row r="347" spans="2:9">
      <c r="B347" s="138" t="s">
        <v>449</v>
      </c>
      <c r="C347" s="139" t="s">
        <v>550</v>
      </c>
      <c r="D347" s="169" t="s">
        <v>22</v>
      </c>
      <c r="E347" s="140" t="s">
        <v>549</v>
      </c>
      <c r="F347" s="176">
        <v>1807456.4499999997</v>
      </c>
      <c r="G347" s="139">
        <v>25</v>
      </c>
      <c r="H347" s="153"/>
      <c r="I347" s="154"/>
    </row>
    <row r="348" spans="2:9">
      <c r="B348" s="138" t="s">
        <v>450</v>
      </c>
      <c r="C348" s="139" t="s">
        <v>548</v>
      </c>
      <c r="D348" s="169" t="s">
        <v>137</v>
      </c>
      <c r="E348" s="140" t="s">
        <v>549</v>
      </c>
      <c r="F348" s="176">
        <v>7908093.4499999993</v>
      </c>
      <c r="G348" s="139">
        <v>60</v>
      </c>
      <c r="H348" s="153"/>
      <c r="I348" s="154"/>
    </row>
    <row r="349" spans="2:9">
      <c r="B349" s="138" t="s">
        <v>451</v>
      </c>
      <c r="C349" s="139" t="s">
        <v>548</v>
      </c>
      <c r="D349" s="169" t="s">
        <v>122</v>
      </c>
      <c r="E349" s="140" t="s">
        <v>549</v>
      </c>
      <c r="F349" s="176">
        <v>8329274.8499999996</v>
      </c>
      <c r="G349" s="139">
        <v>31</v>
      </c>
      <c r="H349" s="153"/>
      <c r="I349" s="154"/>
    </row>
    <row r="350" spans="2:9">
      <c r="B350" s="138" t="s">
        <v>452</v>
      </c>
      <c r="C350" s="139" t="s">
        <v>548</v>
      </c>
      <c r="D350" s="169" t="s">
        <v>124</v>
      </c>
      <c r="E350" s="140" t="s">
        <v>549</v>
      </c>
      <c r="F350" s="176">
        <v>11565439.449999999</v>
      </c>
      <c r="G350" s="139">
        <v>91</v>
      </c>
      <c r="H350" s="153"/>
      <c r="I350" s="154"/>
    </row>
    <row r="351" spans="2:9">
      <c r="B351" s="138" t="s">
        <v>453</v>
      </c>
      <c r="C351" s="139" t="s">
        <v>548</v>
      </c>
      <c r="D351" s="169" t="s">
        <v>32</v>
      </c>
      <c r="E351" s="140" t="s">
        <v>547</v>
      </c>
      <c r="F351" s="176">
        <v>4840374.29</v>
      </c>
      <c r="G351" s="139">
        <v>80</v>
      </c>
      <c r="H351" s="153"/>
      <c r="I351" s="154"/>
    </row>
    <row r="352" spans="2:9">
      <c r="B352" s="138" t="s">
        <v>454</v>
      </c>
      <c r="C352" s="139" t="s">
        <v>550</v>
      </c>
      <c r="D352" s="169" t="s">
        <v>26</v>
      </c>
      <c r="E352" s="140" t="s">
        <v>549</v>
      </c>
      <c r="F352" s="176">
        <v>1727611.8599999999</v>
      </c>
      <c r="G352" s="139">
        <v>25</v>
      </c>
      <c r="H352" s="153"/>
      <c r="I352" s="154"/>
    </row>
    <row r="353" spans="2:9">
      <c r="B353" s="138" t="s">
        <v>455</v>
      </c>
      <c r="C353" s="139" t="s">
        <v>548</v>
      </c>
      <c r="D353" s="169" t="s">
        <v>140</v>
      </c>
      <c r="E353" s="140" t="s">
        <v>549</v>
      </c>
      <c r="F353" s="176">
        <v>3095389.44</v>
      </c>
      <c r="G353" s="139">
        <v>30</v>
      </c>
      <c r="H353" s="153"/>
      <c r="I353" s="154"/>
    </row>
    <row r="354" spans="2:9">
      <c r="B354" s="138" t="s">
        <v>639</v>
      </c>
      <c r="C354" s="139" t="s">
        <v>548</v>
      </c>
      <c r="D354" s="169" t="s">
        <v>140</v>
      </c>
      <c r="E354" s="140" t="s">
        <v>547</v>
      </c>
      <c r="F354" s="176">
        <v>5882046.4300000006</v>
      </c>
      <c r="G354" s="139">
        <v>60</v>
      </c>
      <c r="H354" s="153"/>
      <c r="I354" s="154"/>
    </row>
    <row r="355" spans="2:9">
      <c r="B355" s="138" t="s">
        <v>456</v>
      </c>
      <c r="C355" s="139" t="s">
        <v>550</v>
      </c>
      <c r="D355" s="169" t="s">
        <v>151</v>
      </c>
      <c r="E355" s="140" t="s">
        <v>547</v>
      </c>
      <c r="F355" s="176">
        <v>7777719.9799999995</v>
      </c>
      <c r="G355" s="139">
        <v>80</v>
      </c>
      <c r="H355" s="153"/>
      <c r="I355" s="154"/>
    </row>
    <row r="356" spans="2:9">
      <c r="B356" s="138" t="s">
        <v>457</v>
      </c>
      <c r="C356" s="139" t="s">
        <v>548</v>
      </c>
      <c r="D356" s="169" t="s">
        <v>154</v>
      </c>
      <c r="E356" s="140" t="s">
        <v>549</v>
      </c>
      <c r="F356" s="176">
        <v>10958007.51</v>
      </c>
      <c r="G356" s="139">
        <v>70</v>
      </c>
      <c r="H356" s="153"/>
      <c r="I356" s="154"/>
    </row>
    <row r="357" spans="2:9">
      <c r="B357" s="138" t="s">
        <v>458</v>
      </c>
      <c r="C357" s="139" t="s">
        <v>548</v>
      </c>
      <c r="D357" s="169" t="s">
        <v>124</v>
      </c>
      <c r="E357" s="140" t="s">
        <v>549</v>
      </c>
      <c r="F357" s="176">
        <v>13559423.98</v>
      </c>
      <c r="G357" s="139">
        <v>82</v>
      </c>
      <c r="H357" s="153"/>
      <c r="I357" s="154"/>
    </row>
    <row r="358" spans="2:9">
      <c r="B358" s="138" t="s">
        <v>459</v>
      </c>
      <c r="C358" s="139" t="s">
        <v>548</v>
      </c>
      <c r="D358" s="169" t="s">
        <v>116</v>
      </c>
      <c r="E358" s="140" t="s">
        <v>549</v>
      </c>
      <c r="F358" s="176">
        <v>14399072.83</v>
      </c>
      <c r="G358" s="139">
        <v>76</v>
      </c>
      <c r="H358" s="153"/>
      <c r="I358" s="154"/>
    </row>
    <row r="359" spans="2:9">
      <c r="B359" s="138" t="s">
        <v>460</v>
      </c>
      <c r="C359" s="139" t="s">
        <v>548</v>
      </c>
      <c r="D359" s="169" t="s">
        <v>100</v>
      </c>
      <c r="E359" s="140" t="s">
        <v>549</v>
      </c>
      <c r="F359" s="176">
        <v>5149717.91</v>
      </c>
      <c r="G359" s="139">
        <v>40</v>
      </c>
      <c r="H359" s="153"/>
      <c r="I359" s="154"/>
    </row>
    <row r="360" spans="2:9">
      <c r="B360" s="138" t="s">
        <v>640</v>
      </c>
      <c r="C360" s="139" t="s">
        <v>548</v>
      </c>
      <c r="D360" s="169" t="s">
        <v>111</v>
      </c>
      <c r="E360" s="140" t="s">
        <v>547</v>
      </c>
      <c r="F360" s="176">
        <v>2478338.4500000002</v>
      </c>
      <c r="G360" s="139">
        <v>25</v>
      </c>
      <c r="H360" s="153"/>
      <c r="I360" s="154"/>
    </row>
    <row r="361" spans="2:9">
      <c r="B361" s="138" t="s">
        <v>462</v>
      </c>
      <c r="C361" s="139" t="s">
        <v>548</v>
      </c>
      <c r="D361" s="169" t="s">
        <v>111</v>
      </c>
      <c r="E361" s="140" t="s">
        <v>549</v>
      </c>
      <c r="F361" s="176">
        <v>16088891.210000001</v>
      </c>
      <c r="G361" s="139">
        <v>94</v>
      </c>
      <c r="H361" s="153"/>
      <c r="I361" s="154"/>
    </row>
    <row r="362" spans="2:9">
      <c r="B362" s="138" t="s">
        <v>464</v>
      </c>
      <c r="C362" s="139" t="s">
        <v>550</v>
      </c>
      <c r="D362" s="169" t="s">
        <v>96</v>
      </c>
      <c r="E362" s="140" t="s">
        <v>547</v>
      </c>
      <c r="F362" s="176">
        <v>5268598.9000000004</v>
      </c>
      <c r="G362" s="139">
        <v>50</v>
      </c>
      <c r="H362" s="153"/>
      <c r="I362" s="154"/>
    </row>
    <row r="363" spans="2:9">
      <c r="B363" s="138" t="s">
        <v>465</v>
      </c>
      <c r="C363" s="139" t="s">
        <v>550</v>
      </c>
      <c r="D363" s="169" t="s">
        <v>135</v>
      </c>
      <c r="E363" s="140" t="s">
        <v>547</v>
      </c>
      <c r="F363" s="176">
        <v>3902896.2</v>
      </c>
      <c r="G363" s="139">
        <v>50</v>
      </c>
      <c r="H363" s="153"/>
      <c r="I363" s="154"/>
    </row>
    <row r="364" spans="2:9">
      <c r="B364" s="138" t="s">
        <v>466</v>
      </c>
      <c r="C364" s="139" t="s">
        <v>550</v>
      </c>
      <c r="D364" s="169" t="s">
        <v>115</v>
      </c>
      <c r="E364" s="140" t="s">
        <v>549</v>
      </c>
      <c r="F364" s="176">
        <v>4829931.6300000008</v>
      </c>
      <c r="G364" s="139">
        <v>65</v>
      </c>
      <c r="H364" s="153"/>
      <c r="I364" s="154"/>
    </row>
    <row r="365" spans="2:9">
      <c r="B365" s="138" t="s">
        <v>467</v>
      </c>
      <c r="C365" s="139" t="s">
        <v>548</v>
      </c>
      <c r="D365" s="169" t="s">
        <v>132</v>
      </c>
      <c r="E365" s="140" t="s">
        <v>549</v>
      </c>
      <c r="F365" s="176">
        <v>4289050.46</v>
      </c>
      <c r="G365" s="139">
        <v>48</v>
      </c>
      <c r="H365" s="153"/>
      <c r="I365" s="154"/>
    </row>
    <row r="366" spans="2:9">
      <c r="B366" s="138" t="s">
        <v>468</v>
      </c>
      <c r="C366" s="139" t="s">
        <v>550</v>
      </c>
      <c r="D366" s="169" t="s">
        <v>117</v>
      </c>
      <c r="E366" s="140" t="s">
        <v>547</v>
      </c>
      <c r="F366" s="176">
        <v>9821957.8900000006</v>
      </c>
      <c r="G366" s="139">
        <v>77</v>
      </c>
      <c r="H366" s="153"/>
      <c r="I366" s="154"/>
    </row>
    <row r="367" spans="2:9">
      <c r="B367" s="138" t="s">
        <v>469</v>
      </c>
      <c r="C367" s="139" t="s">
        <v>550</v>
      </c>
      <c r="D367" s="169" t="s">
        <v>118</v>
      </c>
      <c r="E367" s="140" t="s">
        <v>547</v>
      </c>
      <c r="F367" s="176">
        <v>8018255.4399999995</v>
      </c>
      <c r="G367" s="139">
        <v>56</v>
      </c>
      <c r="H367" s="153"/>
      <c r="I367" s="154"/>
    </row>
    <row r="368" spans="2:9">
      <c r="B368" s="138" t="s">
        <v>641</v>
      </c>
      <c r="C368" s="139" t="s">
        <v>550</v>
      </c>
      <c r="D368" s="169" t="s">
        <v>118</v>
      </c>
      <c r="E368" s="140" t="s">
        <v>547</v>
      </c>
      <c r="F368" s="176">
        <v>9342081.5800000001</v>
      </c>
      <c r="G368" s="139">
        <v>80</v>
      </c>
      <c r="H368" s="153"/>
      <c r="I368" s="154"/>
    </row>
    <row r="369" spans="2:9">
      <c r="B369" s="138" t="s">
        <v>470</v>
      </c>
      <c r="C369" s="139" t="s">
        <v>550</v>
      </c>
      <c r="D369" s="169" t="s">
        <v>118</v>
      </c>
      <c r="E369" s="140" t="s">
        <v>549</v>
      </c>
      <c r="F369" s="176">
        <v>7354101.2000000002</v>
      </c>
      <c r="G369" s="139">
        <v>43</v>
      </c>
      <c r="H369" s="153"/>
      <c r="I369" s="154"/>
    </row>
    <row r="370" spans="2:9">
      <c r="B370" s="138" t="s">
        <v>471</v>
      </c>
      <c r="C370" s="139" t="s">
        <v>548</v>
      </c>
      <c r="D370" s="169" t="s">
        <v>129</v>
      </c>
      <c r="E370" s="140" t="s">
        <v>549</v>
      </c>
      <c r="F370" s="176">
        <v>19165099.57</v>
      </c>
      <c r="G370" s="139">
        <v>87</v>
      </c>
      <c r="H370" s="153"/>
      <c r="I370" s="154"/>
    </row>
    <row r="371" spans="2:9">
      <c r="B371" s="138" t="s">
        <v>472</v>
      </c>
      <c r="C371" s="139" t="s">
        <v>548</v>
      </c>
      <c r="D371" s="169" t="s">
        <v>97</v>
      </c>
      <c r="E371" s="140" t="s">
        <v>549</v>
      </c>
      <c r="F371" s="176">
        <v>9064366.4399999995</v>
      </c>
      <c r="G371" s="139">
        <v>65</v>
      </c>
      <c r="H371" s="153"/>
      <c r="I371" s="154"/>
    </row>
    <row r="372" spans="2:9">
      <c r="B372" s="138" t="s">
        <v>473</v>
      </c>
      <c r="C372" s="139" t="s">
        <v>548</v>
      </c>
      <c r="D372" s="169" t="s">
        <v>137</v>
      </c>
      <c r="E372" s="140" t="s">
        <v>549</v>
      </c>
      <c r="F372" s="176">
        <v>26026192.340000004</v>
      </c>
      <c r="G372" s="139">
        <v>96</v>
      </c>
      <c r="H372" s="153"/>
      <c r="I372" s="154"/>
    </row>
    <row r="373" spans="2:9">
      <c r="B373" s="138" t="s">
        <v>474</v>
      </c>
      <c r="C373" s="139" t="s">
        <v>548</v>
      </c>
      <c r="D373" s="169" t="s">
        <v>140</v>
      </c>
      <c r="E373" s="140" t="s">
        <v>549</v>
      </c>
      <c r="F373" s="176">
        <v>5906858.75</v>
      </c>
      <c r="G373" s="139">
        <v>39</v>
      </c>
      <c r="H373" s="153"/>
      <c r="I373" s="154"/>
    </row>
    <row r="374" spans="2:9">
      <c r="B374" s="138" t="s">
        <v>476</v>
      </c>
      <c r="C374" s="139" t="s">
        <v>550</v>
      </c>
      <c r="D374" s="169" t="s">
        <v>117</v>
      </c>
      <c r="E374" s="140" t="s">
        <v>549</v>
      </c>
      <c r="F374" s="176">
        <v>10437113.390000001</v>
      </c>
      <c r="G374" s="139">
        <v>67</v>
      </c>
      <c r="H374" s="153"/>
      <c r="I374" s="154"/>
    </row>
    <row r="375" spans="2:9">
      <c r="B375" s="138" t="s">
        <v>477</v>
      </c>
      <c r="C375" s="139" t="s">
        <v>550</v>
      </c>
      <c r="D375" s="169" t="s">
        <v>151</v>
      </c>
      <c r="E375" s="140" t="s">
        <v>547</v>
      </c>
      <c r="F375" s="176">
        <v>7591456.1799999997</v>
      </c>
      <c r="G375" s="139">
        <v>74</v>
      </c>
      <c r="H375" s="153"/>
      <c r="I375" s="154"/>
    </row>
    <row r="376" spans="2:9">
      <c r="B376" s="138" t="s">
        <v>552</v>
      </c>
      <c r="C376" s="139" t="s">
        <v>550</v>
      </c>
      <c r="D376" s="169" t="s">
        <v>96</v>
      </c>
      <c r="E376" s="140" t="s">
        <v>547</v>
      </c>
      <c r="F376" s="176">
        <v>2650995.71</v>
      </c>
      <c r="G376" s="139">
        <v>35</v>
      </c>
      <c r="H376" s="153"/>
      <c r="I376" s="154"/>
    </row>
    <row r="377" spans="2:9">
      <c r="B377" s="138" t="s">
        <v>642</v>
      </c>
      <c r="C377" s="139" t="s">
        <v>548</v>
      </c>
      <c r="D377" s="169" t="s">
        <v>116</v>
      </c>
      <c r="E377" s="140" t="s">
        <v>547</v>
      </c>
      <c r="F377" s="176">
        <v>7664793.370000001</v>
      </c>
      <c r="G377" s="139">
        <v>55</v>
      </c>
      <c r="H377" s="153"/>
      <c r="I377" s="154"/>
    </row>
    <row r="378" spans="2:9">
      <c r="B378" s="138" t="s">
        <v>478</v>
      </c>
      <c r="C378" s="139" t="s">
        <v>548</v>
      </c>
      <c r="D378" s="169" t="s">
        <v>103</v>
      </c>
      <c r="E378" s="140" t="s">
        <v>549</v>
      </c>
      <c r="F378" s="176">
        <v>11703234.9</v>
      </c>
      <c r="G378" s="139">
        <v>50</v>
      </c>
      <c r="H378" s="153"/>
      <c r="I378" s="154"/>
    </row>
    <row r="379" spans="2:9">
      <c r="B379" s="138" t="s">
        <v>479</v>
      </c>
      <c r="C379" s="139" t="s">
        <v>548</v>
      </c>
      <c r="D379" s="169" t="s">
        <v>103</v>
      </c>
      <c r="E379" s="140" t="s">
        <v>547</v>
      </c>
      <c r="F379" s="176">
        <v>5733470.6099999994</v>
      </c>
      <c r="G379" s="139">
        <v>35</v>
      </c>
      <c r="H379" s="153"/>
      <c r="I379" s="154"/>
    </row>
    <row r="380" spans="2:9">
      <c r="B380" s="138" t="s">
        <v>480</v>
      </c>
      <c r="C380" s="139" t="s">
        <v>550</v>
      </c>
      <c r="D380" s="169" t="s">
        <v>143</v>
      </c>
      <c r="E380" s="140" t="s">
        <v>547</v>
      </c>
      <c r="F380" s="176">
        <v>1489552.6</v>
      </c>
      <c r="G380" s="139">
        <v>35</v>
      </c>
      <c r="H380" s="153"/>
      <c r="I380" s="154"/>
    </row>
    <row r="381" spans="2:9">
      <c r="B381" s="138" t="s">
        <v>481</v>
      </c>
      <c r="C381" s="139" t="s">
        <v>550</v>
      </c>
      <c r="D381" s="169" t="s">
        <v>117</v>
      </c>
      <c r="E381" s="140" t="s">
        <v>547</v>
      </c>
      <c r="F381" s="176">
        <v>3276092.5900000003</v>
      </c>
      <c r="G381" s="139">
        <v>35</v>
      </c>
      <c r="H381" s="153"/>
      <c r="I381" s="154"/>
    </row>
    <row r="382" spans="2:9">
      <c r="B382" s="138" t="s">
        <v>482</v>
      </c>
      <c r="C382" s="139" t="s">
        <v>548</v>
      </c>
      <c r="D382" s="169" t="s">
        <v>144</v>
      </c>
      <c r="E382" s="140" t="s">
        <v>547</v>
      </c>
      <c r="F382" s="176">
        <v>3096351.17</v>
      </c>
      <c r="G382" s="139">
        <v>53</v>
      </c>
      <c r="H382" s="153"/>
      <c r="I382" s="154"/>
    </row>
    <row r="383" spans="2:9">
      <c r="B383" s="138" t="s">
        <v>483</v>
      </c>
      <c r="C383" s="139" t="s">
        <v>548</v>
      </c>
      <c r="D383" s="169" t="s">
        <v>124</v>
      </c>
      <c r="E383" s="140" t="s">
        <v>547</v>
      </c>
      <c r="F383" s="176">
        <v>1694267.6300000001</v>
      </c>
      <c r="G383" s="139">
        <v>83</v>
      </c>
      <c r="H383" s="153"/>
      <c r="I383" s="154"/>
    </row>
    <row r="384" spans="2:9">
      <c r="B384" s="138" t="s">
        <v>484</v>
      </c>
      <c r="C384" s="139" t="s">
        <v>548</v>
      </c>
      <c r="D384" s="169" t="s">
        <v>125</v>
      </c>
      <c r="E384" s="140" t="s">
        <v>549</v>
      </c>
      <c r="F384" s="176">
        <v>14341115.83</v>
      </c>
      <c r="G384" s="139">
        <v>85</v>
      </c>
      <c r="H384" s="153"/>
      <c r="I384" s="154"/>
    </row>
    <row r="385" spans="2:9">
      <c r="B385" s="138" t="s">
        <v>485</v>
      </c>
      <c r="C385" s="139" t="s">
        <v>550</v>
      </c>
      <c r="D385" s="169" t="s">
        <v>151</v>
      </c>
      <c r="E385" s="140" t="s">
        <v>549</v>
      </c>
      <c r="F385" s="176">
        <v>2655948.7399999998</v>
      </c>
      <c r="G385" s="139">
        <v>23</v>
      </c>
      <c r="H385" s="153"/>
      <c r="I385" s="154"/>
    </row>
    <row r="386" spans="2:9">
      <c r="B386" s="138" t="s">
        <v>560</v>
      </c>
      <c r="C386" s="139" t="s">
        <v>550</v>
      </c>
      <c r="D386" s="169" t="s">
        <v>95</v>
      </c>
      <c r="E386" s="140" t="s">
        <v>549</v>
      </c>
      <c r="F386" s="176">
        <v>1763110.1800000002</v>
      </c>
      <c r="G386" s="139">
        <v>18</v>
      </c>
      <c r="H386" s="153"/>
      <c r="I386" s="154"/>
    </row>
    <row r="387" spans="2:9">
      <c r="B387" s="138" t="s">
        <v>486</v>
      </c>
      <c r="C387" s="139" t="s">
        <v>550</v>
      </c>
      <c r="D387" s="169" t="s">
        <v>143</v>
      </c>
      <c r="E387" s="140" t="s">
        <v>547</v>
      </c>
      <c r="F387" s="176">
        <v>2690945.1399999997</v>
      </c>
      <c r="G387" s="139">
        <v>45</v>
      </c>
      <c r="H387" s="153"/>
      <c r="I387" s="154"/>
    </row>
    <row r="388" spans="2:9">
      <c r="B388" s="138" t="s">
        <v>487</v>
      </c>
      <c r="C388" s="139" t="s">
        <v>548</v>
      </c>
      <c r="D388" s="169" t="s">
        <v>140</v>
      </c>
      <c r="E388" s="140" t="s">
        <v>547</v>
      </c>
      <c r="F388" s="176">
        <v>11368889.93</v>
      </c>
      <c r="G388" s="139">
        <v>85</v>
      </c>
      <c r="H388" s="153"/>
      <c r="I388" s="154"/>
    </row>
    <row r="389" spans="2:9">
      <c r="B389" s="138" t="s">
        <v>488</v>
      </c>
      <c r="C389" s="139" t="s">
        <v>550</v>
      </c>
      <c r="D389" s="169" t="s">
        <v>138</v>
      </c>
      <c r="E389" s="140" t="s">
        <v>547</v>
      </c>
      <c r="F389" s="176">
        <v>4024800.45</v>
      </c>
      <c r="G389" s="139">
        <v>40</v>
      </c>
      <c r="H389" s="153"/>
      <c r="I389" s="154"/>
    </row>
    <row r="390" spans="2:9">
      <c r="B390" s="138" t="s">
        <v>489</v>
      </c>
      <c r="C390" s="139" t="s">
        <v>548</v>
      </c>
      <c r="D390" s="169" t="s">
        <v>133</v>
      </c>
      <c r="E390" s="140" t="s">
        <v>549</v>
      </c>
      <c r="F390" s="176">
        <v>14158067.939999999</v>
      </c>
      <c r="G390" s="139">
        <v>70</v>
      </c>
      <c r="H390" s="153"/>
      <c r="I390" s="154"/>
    </row>
    <row r="391" spans="2:9">
      <c r="B391" s="138" t="s">
        <v>490</v>
      </c>
      <c r="C391" s="139" t="s">
        <v>548</v>
      </c>
      <c r="D391" s="169" t="s">
        <v>109</v>
      </c>
      <c r="E391" s="140" t="s">
        <v>549</v>
      </c>
      <c r="F391" s="176">
        <v>16212943.970000001</v>
      </c>
      <c r="G391" s="139">
        <v>88</v>
      </c>
      <c r="H391" s="153"/>
      <c r="I391" s="154"/>
    </row>
    <row r="392" spans="2:9">
      <c r="B392" s="138" t="s">
        <v>491</v>
      </c>
      <c r="C392" s="139" t="s">
        <v>548</v>
      </c>
      <c r="D392" s="169" t="s">
        <v>122</v>
      </c>
      <c r="E392" s="140" t="s">
        <v>547</v>
      </c>
      <c r="F392" s="176">
        <v>5289991.76</v>
      </c>
      <c r="G392" s="139">
        <v>78</v>
      </c>
      <c r="H392" s="153"/>
      <c r="I392" s="154"/>
    </row>
    <row r="393" spans="2:9">
      <c r="B393" s="138" t="s">
        <v>643</v>
      </c>
      <c r="C393" s="139" t="s">
        <v>548</v>
      </c>
      <c r="D393" s="169" t="s">
        <v>122</v>
      </c>
      <c r="E393" s="140" t="s">
        <v>547</v>
      </c>
      <c r="F393" s="176">
        <v>1022536.04</v>
      </c>
      <c r="G393" s="139">
        <v>38</v>
      </c>
      <c r="H393" s="153"/>
      <c r="I393" s="154"/>
    </row>
    <row r="394" spans="2:9">
      <c r="B394" s="138" t="s">
        <v>492</v>
      </c>
      <c r="C394" s="139" t="s">
        <v>548</v>
      </c>
      <c r="D394" s="169" t="s">
        <v>122</v>
      </c>
      <c r="E394" s="140" t="s">
        <v>547</v>
      </c>
      <c r="F394" s="176">
        <v>2723309.83</v>
      </c>
      <c r="G394" s="139">
        <v>40</v>
      </c>
      <c r="H394" s="153"/>
      <c r="I394" s="154"/>
    </row>
    <row r="395" spans="2:9">
      <c r="B395" s="138" t="s">
        <v>493</v>
      </c>
      <c r="C395" s="139" t="s">
        <v>548</v>
      </c>
      <c r="D395" s="169" t="s">
        <v>103</v>
      </c>
      <c r="E395" s="140" t="s">
        <v>547</v>
      </c>
      <c r="F395" s="176">
        <v>699221.36999999988</v>
      </c>
      <c r="G395" s="139">
        <v>18</v>
      </c>
      <c r="H395" s="153"/>
      <c r="I395" s="154"/>
    </row>
    <row r="396" spans="2:9">
      <c r="B396" s="138" t="s">
        <v>644</v>
      </c>
      <c r="C396" s="139" t="s">
        <v>548</v>
      </c>
      <c r="D396" s="169" t="s">
        <v>103</v>
      </c>
      <c r="E396" s="140" t="s">
        <v>547</v>
      </c>
      <c r="F396" s="176">
        <v>4317978.2300000004</v>
      </c>
      <c r="G396" s="139">
        <v>60</v>
      </c>
      <c r="H396" s="153"/>
      <c r="I396" s="154"/>
    </row>
    <row r="397" spans="2:9">
      <c r="B397" s="138" t="s">
        <v>494</v>
      </c>
      <c r="C397" s="139" t="s">
        <v>550</v>
      </c>
      <c r="D397" s="169" t="s">
        <v>149</v>
      </c>
      <c r="E397" s="140" t="s">
        <v>547</v>
      </c>
      <c r="F397" s="176">
        <v>2213243.77</v>
      </c>
      <c r="G397" s="139">
        <v>42</v>
      </c>
      <c r="H397" s="153"/>
      <c r="I397" s="154"/>
    </row>
    <row r="398" spans="2:9">
      <c r="B398" s="138" t="s">
        <v>645</v>
      </c>
      <c r="C398" s="139" t="s">
        <v>550</v>
      </c>
      <c r="D398" s="169" t="s">
        <v>149</v>
      </c>
      <c r="E398" s="140" t="s">
        <v>547</v>
      </c>
      <c r="F398" s="176">
        <v>1125056.4900000002</v>
      </c>
      <c r="G398" s="139">
        <v>35</v>
      </c>
      <c r="H398" s="153"/>
      <c r="I398" s="154"/>
    </row>
    <row r="399" spans="2:9">
      <c r="B399" s="138" t="s">
        <v>495</v>
      </c>
      <c r="C399" s="139" t="s">
        <v>548</v>
      </c>
      <c r="D399" s="169" t="s">
        <v>122</v>
      </c>
      <c r="E399" s="140" t="s">
        <v>549</v>
      </c>
      <c r="F399" s="176">
        <v>13831724.68</v>
      </c>
      <c r="G399" s="139">
        <v>75</v>
      </c>
      <c r="H399" s="153"/>
      <c r="I399" s="154"/>
    </row>
    <row r="400" spans="2:9">
      <c r="B400" s="138" t="s">
        <v>497</v>
      </c>
      <c r="C400" s="139" t="s">
        <v>548</v>
      </c>
      <c r="D400" s="169" t="s">
        <v>32</v>
      </c>
      <c r="E400" s="140" t="s">
        <v>549</v>
      </c>
      <c r="F400" s="176">
        <v>5179690.07</v>
      </c>
      <c r="G400" s="139">
        <v>49</v>
      </c>
      <c r="H400" s="153"/>
      <c r="I400" s="154"/>
    </row>
    <row r="401" spans="2:9">
      <c r="B401" s="138" t="s">
        <v>498</v>
      </c>
      <c r="C401" s="139" t="s">
        <v>548</v>
      </c>
      <c r="D401" s="169" t="s">
        <v>103</v>
      </c>
      <c r="E401" s="140" t="s">
        <v>549</v>
      </c>
      <c r="F401" s="176">
        <v>17422788.16</v>
      </c>
      <c r="G401" s="139">
        <v>105</v>
      </c>
      <c r="H401" s="153"/>
      <c r="I401" s="154"/>
    </row>
    <row r="402" spans="2:9">
      <c r="B402" s="138" t="s">
        <v>499</v>
      </c>
      <c r="C402" s="139" t="s">
        <v>548</v>
      </c>
      <c r="D402" s="169" t="s">
        <v>129</v>
      </c>
      <c r="E402" s="140" t="s">
        <v>549</v>
      </c>
      <c r="F402" s="176">
        <v>8704189.1999999993</v>
      </c>
      <c r="G402" s="139">
        <v>60</v>
      </c>
      <c r="H402" s="153"/>
      <c r="I402" s="154"/>
    </row>
    <row r="403" spans="2:9">
      <c r="B403" s="138" t="s">
        <v>561</v>
      </c>
      <c r="C403" s="139" t="s">
        <v>548</v>
      </c>
      <c r="D403" s="169" t="s">
        <v>156</v>
      </c>
      <c r="E403" s="140" t="s">
        <v>549</v>
      </c>
      <c r="F403" s="176">
        <v>718125.73</v>
      </c>
      <c r="G403" s="139">
        <v>30</v>
      </c>
      <c r="H403" s="153"/>
      <c r="I403" s="154"/>
    </row>
    <row r="404" spans="2:9">
      <c r="B404" s="138" t="s">
        <v>657</v>
      </c>
      <c r="C404" s="139" t="s">
        <v>548</v>
      </c>
      <c r="D404" s="169" t="s">
        <v>144</v>
      </c>
      <c r="E404" s="140" t="s">
        <v>549</v>
      </c>
      <c r="F404" s="176">
        <v>3057498.71</v>
      </c>
      <c r="G404" s="139">
        <v>29</v>
      </c>
      <c r="H404" s="153"/>
      <c r="I404" s="154"/>
    </row>
    <row r="405" spans="2:9">
      <c r="B405" s="138" t="s">
        <v>658</v>
      </c>
      <c r="C405" s="139" t="s">
        <v>550</v>
      </c>
      <c r="D405" s="169" t="s">
        <v>115</v>
      </c>
      <c r="E405" s="140" t="s">
        <v>547</v>
      </c>
      <c r="F405" s="176">
        <v>3568615.3299999996</v>
      </c>
      <c r="G405" s="139">
        <v>60</v>
      </c>
      <c r="H405" s="153"/>
      <c r="I405" s="154"/>
    </row>
    <row r="406" spans="2:9">
      <c r="B406" s="138" t="s">
        <v>659</v>
      </c>
      <c r="C406" s="139" t="s">
        <v>550</v>
      </c>
      <c r="D406" s="169" t="s">
        <v>115</v>
      </c>
      <c r="E406" s="140" t="s">
        <v>547</v>
      </c>
      <c r="F406" s="176">
        <v>2840135.94</v>
      </c>
      <c r="G406" s="139">
        <v>40</v>
      </c>
      <c r="H406" s="153"/>
      <c r="I406" s="154"/>
    </row>
    <row r="407" spans="2:9">
      <c r="B407" s="138" t="s">
        <v>704</v>
      </c>
      <c r="C407" s="139" t="s">
        <v>548</v>
      </c>
      <c r="D407" s="169" t="s">
        <v>132</v>
      </c>
      <c r="E407" s="140" t="s">
        <v>549</v>
      </c>
      <c r="F407" s="176">
        <v>2059640.5999999999</v>
      </c>
      <c r="G407" s="139">
        <v>50</v>
      </c>
      <c r="H407" s="153"/>
      <c r="I407" s="154"/>
    </row>
    <row r="408" spans="2:9">
      <c r="B408" s="138" t="s">
        <v>660</v>
      </c>
      <c r="C408" s="139" t="s">
        <v>548</v>
      </c>
      <c r="D408" s="169" t="s">
        <v>124</v>
      </c>
      <c r="E408" s="140" t="s">
        <v>549</v>
      </c>
      <c r="F408" s="176">
        <v>3734894.21</v>
      </c>
      <c r="G408" s="139">
        <v>50</v>
      </c>
      <c r="H408" s="153"/>
      <c r="I408" s="154"/>
    </row>
    <row r="409" spans="2:9">
      <c r="B409" s="138" t="s">
        <v>661</v>
      </c>
      <c r="C409" s="139" t="s">
        <v>548</v>
      </c>
      <c r="D409" s="169" t="s">
        <v>154</v>
      </c>
      <c r="E409" s="140" t="s">
        <v>547</v>
      </c>
      <c r="F409" s="176">
        <v>10943705.98</v>
      </c>
      <c r="G409" s="139">
        <v>80</v>
      </c>
      <c r="H409" s="153"/>
      <c r="I409" s="154"/>
    </row>
    <row r="410" spans="2:9">
      <c r="B410" s="138" t="s">
        <v>662</v>
      </c>
      <c r="C410" s="139" t="s">
        <v>548</v>
      </c>
      <c r="D410" s="169" t="s">
        <v>139</v>
      </c>
      <c r="E410" s="140" t="s">
        <v>547</v>
      </c>
      <c r="F410" s="176">
        <v>1078988.1400000001</v>
      </c>
      <c r="G410" s="139">
        <v>43</v>
      </c>
      <c r="H410" s="153"/>
      <c r="I410" s="154"/>
    </row>
    <row r="411" spans="2:9">
      <c r="B411" s="138" t="s">
        <v>663</v>
      </c>
      <c r="C411" s="139" t="s">
        <v>548</v>
      </c>
      <c r="D411" s="169" t="s">
        <v>112</v>
      </c>
      <c r="E411" s="140" t="s">
        <v>549</v>
      </c>
      <c r="F411" s="176">
        <v>4860238.16</v>
      </c>
      <c r="G411" s="139">
        <v>50</v>
      </c>
      <c r="H411" s="153"/>
      <c r="I411" s="154"/>
    </row>
    <row r="412" spans="2:9">
      <c r="B412" s="138" t="s">
        <v>664</v>
      </c>
      <c r="C412" s="139" t="s">
        <v>548</v>
      </c>
      <c r="D412" s="169" t="s">
        <v>31</v>
      </c>
      <c r="E412" s="140" t="s">
        <v>549</v>
      </c>
      <c r="F412" s="176">
        <v>20504123.210000001</v>
      </c>
      <c r="G412" s="139">
        <v>90</v>
      </c>
      <c r="H412" s="153"/>
      <c r="I412" s="154"/>
    </row>
    <row r="413" spans="2:9">
      <c r="B413" s="138" t="s">
        <v>665</v>
      </c>
      <c r="C413" s="139" t="s">
        <v>548</v>
      </c>
      <c r="D413" s="169" t="s">
        <v>136</v>
      </c>
      <c r="E413" s="140" t="s">
        <v>549</v>
      </c>
      <c r="F413" s="176">
        <v>6143403.0500000007</v>
      </c>
      <c r="G413" s="139">
        <v>35</v>
      </c>
      <c r="H413" s="153"/>
      <c r="I413" s="154"/>
    </row>
    <row r="414" spans="2:9">
      <c r="B414" s="138" t="s">
        <v>501</v>
      </c>
      <c r="C414" s="139" t="s">
        <v>548</v>
      </c>
      <c r="D414" s="169" t="s">
        <v>133</v>
      </c>
      <c r="E414" s="140" t="s">
        <v>547</v>
      </c>
      <c r="F414" s="176">
        <v>12920757.810000001</v>
      </c>
      <c r="G414" s="139">
        <v>66</v>
      </c>
      <c r="H414" s="153"/>
      <c r="I414" s="154"/>
    </row>
    <row r="415" spans="2:9">
      <c r="B415" s="138" t="s">
        <v>666</v>
      </c>
      <c r="C415" s="139" t="s">
        <v>548</v>
      </c>
      <c r="D415" s="169" t="s">
        <v>131</v>
      </c>
      <c r="E415" s="140" t="s">
        <v>547</v>
      </c>
      <c r="F415" s="176">
        <v>6265334.8200000003</v>
      </c>
      <c r="G415" s="139">
        <v>90</v>
      </c>
      <c r="H415" s="153"/>
      <c r="I415" s="154"/>
    </row>
    <row r="416" spans="2:9">
      <c r="B416" s="138" t="s">
        <v>667</v>
      </c>
      <c r="C416" s="139" t="s">
        <v>548</v>
      </c>
      <c r="D416" s="169" t="s">
        <v>124</v>
      </c>
      <c r="E416" s="140" t="s">
        <v>549</v>
      </c>
      <c r="F416" s="176">
        <v>8422630.0099999998</v>
      </c>
      <c r="G416" s="139">
        <v>53</v>
      </c>
      <c r="H416" s="153"/>
      <c r="I416" s="154"/>
    </row>
    <row r="417" spans="2:9">
      <c r="B417" s="138" t="s">
        <v>668</v>
      </c>
      <c r="C417" s="139" t="s">
        <v>548</v>
      </c>
      <c r="D417" s="169" t="s">
        <v>112</v>
      </c>
      <c r="E417" s="140" t="s">
        <v>547</v>
      </c>
      <c r="F417" s="176">
        <v>523635.67000000004</v>
      </c>
      <c r="G417" s="139">
        <v>32</v>
      </c>
      <c r="H417" s="153"/>
      <c r="I417" s="154"/>
    </row>
    <row r="418" spans="2:9">
      <c r="B418" s="138" t="s">
        <v>733</v>
      </c>
      <c r="C418" s="139" t="s">
        <v>548</v>
      </c>
      <c r="D418" s="169" t="s">
        <v>124</v>
      </c>
      <c r="E418" s="140" t="s">
        <v>547</v>
      </c>
      <c r="F418" s="176">
        <v>2381919.81</v>
      </c>
      <c r="G418" s="139">
        <v>62</v>
      </c>
      <c r="H418" s="153"/>
      <c r="I418" s="154"/>
    </row>
    <row r="419" spans="2:9">
      <c r="B419" s="138" t="s">
        <v>669</v>
      </c>
      <c r="C419" s="139" t="s">
        <v>550</v>
      </c>
      <c r="D419" s="169" t="s">
        <v>115</v>
      </c>
      <c r="E419" s="140" t="s">
        <v>549</v>
      </c>
      <c r="F419" s="176">
        <v>1852838.1300000001</v>
      </c>
      <c r="G419" s="139">
        <v>25</v>
      </c>
      <c r="H419" s="153"/>
      <c r="I419" s="154"/>
    </row>
    <row r="420" spans="2:9">
      <c r="B420" s="138" t="s">
        <v>670</v>
      </c>
      <c r="C420" s="139" t="s">
        <v>548</v>
      </c>
      <c r="D420" s="169" t="s">
        <v>156</v>
      </c>
      <c r="E420" s="140" t="s">
        <v>547</v>
      </c>
      <c r="F420" s="176">
        <v>7002150.71</v>
      </c>
      <c r="G420" s="139">
        <v>80</v>
      </c>
      <c r="H420" s="153"/>
      <c r="I420" s="154"/>
    </row>
    <row r="421" spans="2:9">
      <c r="B421" s="138" t="s">
        <v>672</v>
      </c>
      <c r="C421" s="139" t="s">
        <v>550</v>
      </c>
      <c r="D421" s="169" t="s">
        <v>110</v>
      </c>
      <c r="E421" s="140" t="s">
        <v>547</v>
      </c>
      <c r="F421" s="176">
        <v>3708089.63</v>
      </c>
      <c r="G421" s="139">
        <v>41</v>
      </c>
      <c r="H421" s="153"/>
      <c r="I421" s="154"/>
    </row>
    <row r="422" spans="2:9">
      <c r="B422" s="138" t="s">
        <v>674</v>
      </c>
      <c r="C422" s="139" t="s">
        <v>548</v>
      </c>
      <c r="D422" s="169" t="s">
        <v>137</v>
      </c>
      <c r="E422" s="140" t="s">
        <v>547</v>
      </c>
      <c r="F422" s="176">
        <v>2583617.2999999998</v>
      </c>
      <c r="G422" s="139">
        <v>50</v>
      </c>
      <c r="H422" s="153"/>
      <c r="I422" s="154"/>
    </row>
    <row r="423" spans="2:9">
      <c r="B423" s="138" t="s">
        <v>675</v>
      </c>
      <c r="C423" s="139" t="s">
        <v>550</v>
      </c>
      <c r="D423" s="169" t="s">
        <v>150</v>
      </c>
      <c r="E423" s="140" t="s">
        <v>549</v>
      </c>
      <c r="F423" s="176">
        <v>2241849.6100000003</v>
      </c>
      <c r="G423" s="139">
        <v>35</v>
      </c>
      <c r="H423" s="153"/>
      <c r="I423" s="154"/>
    </row>
    <row r="424" spans="2:9">
      <c r="B424" s="138" t="s">
        <v>676</v>
      </c>
      <c r="C424" s="139" t="s">
        <v>550</v>
      </c>
      <c r="D424" s="169" t="s">
        <v>110</v>
      </c>
      <c r="E424" s="140" t="s">
        <v>547</v>
      </c>
      <c r="F424" s="176">
        <v>1000624.9099999999</v>
      </c>
      <c r="G424" s="139">
        <v>24</v>
      </c>
      <c r="H424" s="153"/>
      <c r="I424" s="154"/>
    </row>
    <row r="425" spans="2:9">
      <c r="B425" s="138" t="s">
        <v>677</v>
      </c>
      <c r="C425" s="139" t="s">
        <v>548</v>
      </c>
      <c r="D425" s="169" t="s">
        <v>154</v>
      </c>
      <c r="E425" s="140" t="s">
        <v>549</v>
      </c>
      <c r="F425" s="176">
        <v>7759699.959999999</v>
      </c>
      <c r="G425" s="139">
        <v>50</v>
      </c>
      <c r="H425" s="153"/>
      <c r="I425" s="154"/>
    </row>
    <row r="426" spans="2:9">
      <c r="B426" s="138" t="s">
        <v>678</v>
      </c>
      <c r="C426" s="139" t="s">
        <v>548</v>
      </c>
      <c r="D426" s="169" t="s">
        <v>106</v>
      </c>
      <c r="E426" s="140" t="s">
        <v>549</v>
      </c>
      <c r="F426" s="176">
        <v>5187992.83</v>
      </c>
      <c r="G426" s="139">
        <v>60</v>
      </c>
      <c r="H426" s="153"/>
      <c r="I426" s="154"/>
    </row>
    <row r="427" spans="2:9">
      <c r="B427" s="138" t="s">
        <v>679</v>
      </c>
      <c r="C427" s="139" t="s">
        <v>548</v>
      </c>
      <c r="D427" s="169" t="s">
        <v>32</v>
      </c>
      <c r="E427" s="140" t="s">
        <v>549</v>
      </c>
      <c r="F427" s="176">
        <v>5391832.3399999999</v>
      </c>
      <c r="G427" s="139">
        <v>40</v>
      </c>
      <c r="H427" s="153"/>
      <c r="I427" s="154"/>
    </row>
    <row r="428" spans="2:9">
      <c r="B428" s="138" t="s">
        <v>680</v>
      </c>
      <c r="C428" s="139" t="s">
        <v>548</v>
      </c>
      <c r="D428" s="169" t="s">
        <v>144</v>
      </c>
      <c r="E428" s="140" t="s">
        <v>547</v>
      </c>
      <c r="F428" s="176">
        <v>4716463.5600000005</v>
      </c>
      <c r="G428" s="139">
        <v>57</v>
      </c>
      <c r="H428" s="153"/>
      <c r="I428" s="154"/>
    </row>
    <row r="429" spans="2:9">
      <c r="B429" s="138" t="s">
        <v>681</v>
      </c>
      <c r="C429" s="139" t="s">
        <v>550</v>
      </c>
      <c r="D429" s="169" t="s">
        <v>113</v>
      </c>
      <c r="E429" s="140" t="s">
        <v>549</v>
      </c>
      <c r="F429" s="176">
        <v>3870894.83</v>
      </c>
      <c r="G429" s="139">
        <v>32</v>
      </c>
      <c r="H429" s="153"/>
      <c r="I429" s="154"/>
    </row>
    <row r="430" spans="2:9">
      <c r="B430" s="138" t="s">
        <v>682</v>
      </c>
      <c r="C430" s="139" t="s">
        <v>548</v>
      </c>
      <c r="D430" s="169" t="s">
        <v>32</v>
      </c>
      <c r="E430" s="140" t="s">
        <v>549</v>
      </c>
      <c r="F430" s="176">
        <v>4231202.01</v>
      </c>
      <c r="G430" s="139">
        <v>31</v>
      </c>
      <c r="H430" s="153"/>
      <c r="I430" s="154"/>
    </row>
    <row r="431" spans="2:9">
      <c r="B431" s="138" t="s">
        <v>683</v>
      </c>
      <c r="C431" s="139" t="s">
        <v>548</v>
      </c>
      <c r="D431" s="169" t="s">
        <v>125</v>
      </c>
      <c r="E431" s="140" t="s">
        <v>549</v>
      </c>
      <c r="F431" s="176">
        <v>6318485.6299999999</v>
      </c>
      <c r="G431" s="139">
        <v>69</v>
      </c>
      <c r="H431" s="153"/>
      <c r="I431" s="154"/>
    </row>
    <row r="432" spans="2:9">
      <c r="B432" s="138" t="s">
        <v>684</v>
      </c>
      <c r="C432" s="139" t="s">
        <v>550</v>
      </c>
      <c r="D432" s="169" t="s">
        <v>151</v>
      </c>
      <c r="E432" s="140" t="s">
        <v>547</v>
      </c>
      <c r="F432" s="176">
        <v>1710376.6</v>
      </c>
      <c r="G432" s="139">
        <v>33</v>
      </c>
      <c r="H432" s="153"/>
      <c r="I432" s="154"/>
    </row>
    <row r="433" spans="2:9">
      <c r="B433" s="138" t="s">
        <v>734</v>
      </c>
      <c r="C433" s="139" t="s">
        <v>548</v>
      </c>
      <c r="D433" s="169" t="s">
        <v>111</v>
      </c>
      <c r="E433" s="140" t="s">
        <v>549</v>
      </c>
      <c r="F433" s="176">
        <v>11684447.960000001</v>
      </c>
      <c r="G433" s="139">
        <v>65</v>
      </c>
      <c r="H433" s="153"/>
      <c r="I433" s="154"/>
    </row>
    <row r="434" spans="2:9">
      <c r="B434" s="138" t="s">
        <v>685</v>
      </c>
      <c r="C434" s="139" t="s">
        <v>548</v>
      </c>
      <c r="D434" s="169" t="s">
        <v>107</v>
      </c>
      <c r="E434" s="140" t="s">
        <v>549</v>
      </c>
      <c r="F434" s="176">
        <v>13825638.469999999</v>
      </c>
      <c r="G434" s="139">
        <v>52</v>
      </c>
      <c r="H434" s="153"/>
      <c r="I434" s="154"/>
    </row>
    <row r="435" spans="2:9">
      <c r="B435" s="138" t="s">
        <v>686</v>
      </c>
      <c r="C435" s="139" t="s">
        <v>548</v>
      </c>
      <c r="D435" s="169" t="s">
        <v>154</v>
      </c>
      <c r="E435" s="140" t="s">
        <v>547</v>
      </c>
      <c r="F435" s="176">
        <v>17902137.310000002</v>
      </c>
      <c r="G435" s="139">
        <v>85</v>
      </c>
      <c r="H435" s="153"/>
      <c r="I435" s="154"/>
    </row>
    <row r="436" spans="2:9">
      <c r="B436" s="138" t="s">
        <v>687</v>
      </c>
      <c r="C436" s="139" t="s">
        <v>548</v>
      </c>
      <c r="D436" s="169" t="s">
        <v>136</v>
      </c>
      <c r="E436" s="140" t="s">
        <v>549</v>
      </c>
      <c r="F436" s="176">
        <v>8574695.4800000004</v>
      </c>
      <c r="G436" s="139">
        <v>55</v>
      </c>
      <c r="H436" s="153"/>
      <c r="I436" s="154"/>
    </row>
    <row r="437" spans="2:9">
      <c r="B437" s="138" t="s">
        <v>688</v>
      </c>
      <c r="C437" s="139" t="s">
        <v>548</v>
      </c>
      <c r="D437" s="169" t="s">
        <v>120</v>
      </c>
      <c r="E437" s="140" t="s">
        <v>547</v>
      </c>
      <c r="F437" s="176">
        <v>3886801.0300000003</v>
      </c>
      <c r="G437" s="139">
        <v>60</v>
      </c>
      <c r="H437" s="153"/>
      <c r="I437" s="154"/>
    </row>
    <row r="438" spans="2:9">
      <c r="B438" s="138" t="s">
        <v>689</v>
      </c>
      <c r="C438" s="139" t="s">
        <v>550</v>
      </c>
      <c r="D438" s="169" t="s">
        <v>151</v>
      </c>
      <c r="E438" s="140" t="s">
        <v>547</v>
      </c>
      <c r="F438" s="176">
        <v>2766402.05</v>
      </c>
      <c r="G438" s="139">
        <v>37</v>
      </c>
      <c r="H438" s="153"/>
      <c r="I438" s="154"/>
    </row>
    <row r="439" spans="2:9">
      <c r="B439" s="138" t="s">
        <v>502</v>
      </c>
      <c r="C439" s="139" t="s">
        <v>548</v>
      </c>
      <c r="D439" s="169" t="s">
        <v>107</v>
      </c>
      <c r="E439" s="140" t="s">
        <v>547</v>
      </c>
      <c r="F439" s="176">
        <v>2817402.8499999996</v>
      </c>
      <c r="G439" s="139">
        <v>46</v>
      </c>
      <c r="H439" s="153"/>
      <c r="I439" s="154"/>
    </row>
    <row r="440" spans="2:9">
      <c r="B440" s="138" t="s">
        <v>503</v>
      </c>
      <c r="C440" s="139" t="s">
        <v>550</v>
      </c>
      <c r="D440" s="169" t="s">
        <v>148</v>
      </c>
      <c r="E440" s="140" t="s">
        <v>549</v>
      </c>
      <c r="F440" s="176">
        <v>3776619.29</v>
      </c>
      <c r="G440" s="139">
        <v>45</v>
      </c>
      <c r="H440" s="153"/>
      <c r="I440" s="154"/>
    </row>
    <row r="441" spans="2:9">
      <c r="B441" s="138" t="s">
        <v>504</v>
      </c>
      <c r="C441" s="139" t="s">
        <v>548</v>
      </c>
      <c r="D441" s="169" t="s">
        <v>102</v>
      </c>
      <c r="E441" s="140" t="s">
        <v>549</v>
      </c>
      <c r="F441" s="176">
        <v>2532877.5499999998</v>
      </c>
      <c r="G441" s="139">
        <v>32</v>
      </c>
      <c r="H441" s="153"/>
      <c r="I441" s="154"/>
    </row>
    <row r="442" spans="2:9">
      <c r="B442" s="138" t="s">
        <v>505</v>
      </c>
      <c r="C442" s="139" t="s">
        <v>550</v>
      </c>
      <c r="D442" s="169" t="s">
        <v>126</v>
      </c>
      <c r="E442" s="140" t="s">
        <v>547</v>
      </c>
      <c r="F442" s="176">
        <v>7172379.2200000007</v>
      </c>
      <c r="G442" s="139">
        <v>59</v>
      </c>
      <c r="H442" s="153"/>
      <c r="I442" s="154"/>
    </row>
    <row r="443" spans="2:9">
      <c r="B443" s="138" t="s">
        <v>646</v>
      </c>
      <c r="C443" s="139" t="s">
        <v>550</v>
      </c>
      <c r="D443" s="169" t="s">
        <v>126</v>
      </c>
      <c r="E443" s="140" t="s">
        <v>547</v>
      </c>
      <c r="F443" s="176">
        <v>2965050.5599999996</v>
      </c>
      <c r="G443" s="139">
        <v>37</v>
      </c>
      <c r="H443" s="153"/>
      <c r="I443" s="154"/>
    </row>
    <row r="444" spans="2:9">
      <c r="B444" s="138" t="s">
        <v>506</v>
      </c>
      <c r="C444" s="139" t="s">
        <v>548</v>
      </c>
      <c r="D444" s="169" t="s">
        <v>107</v>
      </c>
      <c r="E444" s="140" t="s">
        <v>547</v>
      </c>
      <c r="F444" s="176">
        <v>14090308.59</v>
      </c>
      <c r="G444" s="139">
        <v>75</v>
      </c>
      <c r="H444" s="153"/>
      <c r="I444" s="154"/>
    </row>
    <row r="445" spans="2:9">
      <c r="B445" s="138" t="s">
        <v>507</v>
      </c>
      <c r="C445" s="139" t="s">
        <v>548</v>
      </c>
      <c r="D445" s="169" t="s">
        <v>124</v>
      </c>
      <c r="E445" s="140" t="s">
        <v>549</v>
      </c>
      <c r="F445" s="176">
        <v>5641482.9700000007</v>
      </c>
      <c r="G445" s="139">
        <v>47</v>
      </c>
      <c r="H445" s="153"/>
      <c r="I445" s="154"/>
    </row>
    <row r="446" spans="2:9">
      <c r="B446" s="138" t="s">
        <v>508</v>
      </c>
      <c r="C446" s="139" t="s">
        <v>550</v>
      </c>
      <c r="D446" s="169" t="s">
        <v>108</v>
      </c>
      <c r="E446" s="140" t="s">
        <v>549</v>
      </c>
      <c r="F446" s="176">
        <v>3095781.61</v>
      </c>
      <c r="G446" s="139">
        <v>22</v>
      </c>
      <c r="H446" s="153"/>
      <c r="I446" s="154"/>
    </row>
    <row r="447" spans="2:9">
      <c r="B447" s="138" t="s">
        <v>647</v>
      </c>
      <c r="C447" s="139" t="s">
        <v>548</v>
      </c>
      <c r="D447" s="169" t="s">
        <v>156</v>
      </c>
      <c r="E447" s="140" t="s">
        <v>547</v>
      </c>
      <c r="F447" s="176">
        <v>1569726.6400000001</v>
      </c>
      <c r="G447" s="139">
        <v>30</v>
      </c>
      <c r="H447" s="153"/>
      <c r="I447" s="154"/>
    </row>
    <row r="448" spans="2:9">
      <c r="B448" s="138" t="s">
        <v>579</v>
      </c>
      <c r="C448" s="139" t="s">
        <v>550</v>
      </c>
      <c r="D448" s="169" t="s">
        <v>117</v>
      </c>
      <c r="E448" s="140" t="s">
        <v>549</v>
      </c>
      <c r="F448" s="176">
        <v>2667846.36</v>
      </c>
      <c r="G448" s="139">
        <v>29</v>
      </c>
      <c r="H448" s="153"/>
      <c r="I448" s="154"/>
    </row>
    <row r="449" spans="2:9">
      <c r="B449" s="138" t="s">
        <v>509</v>
      </c>
      <c r="C449" s="139" t="s">
        <v>548</v>
      </c>
      <c r="D449" s="169" t="s">
        <v>136</v>
      </c>
      <c r="E449" s="140" t="s">
        <v>547</v>
      </c>
      <c r="F449" s="176">
        <v>13425179.859999999</v>
      </c>
      <c r="G449" s="139">
        <v>75</v>
      </c>
      <c r="H449" s="153"/>
      <c r="I449" s="154"/>
    </row>
    <row r="450" spans="2:9">
      <c r="B450" s="138" t="s">
        <v>510</v>
      </c>
      <c r="C450" s="139" t="s">
        <v>548</v>
      </c>
      <c r="D450" s="169" t="s">
        <v>129</v>
      </c>
      <c r="E450" s="140" t="s">
        <v>547</v>
      </c>
      <c r="F450" s="176">
        <v>4503767.84</v>
      </c>
      <c r="G450" s="139">
        <v>90</v>
      </c>
      <c r="H450" s="153"/>
      <c r="I450" s="154"/>
    </row>
    <row r="451" spans="2:9">
      <c r="B451" s="138" t="s">
        <v>511</v>
      </c>
      <c r="C451" s="139" t="s">
        <v>550</v>
      </c>
      <c r="D451" s="169" t="s">
        <v>118</v>
      </c>
      <c r="E451" s="140" t="s">
        <v>549</v>
      </c>
      <c r="F451" s="176">
        <v>6882442.0199999996</v>
      </c>
      <c r="G451" s="139">
        <v>40</v>
      </c>
      <c r="H451" s="153"/>
      <c r="I451" s="154"/>
    </row>
    <row r="452" spans="2:9">
      <c r="B452" s="138" t="s">
        <v>512</v>
      </c>
      <c r="C452" s="139" t="s">
        <v>550</v>
      </c>
      <c r="D452" s="169" t="s">
        <v>128</v>
      </c>
      <c r="E452" s="140" t="s">
        <v>549</v>
      </c>
      <c r="F452" s="176">
        <v>5463898.7200000007</v>
      </c>
      <c r="G452" s="139">
        <v>50</v>
      </c>
      <c r="H452" s="153"/>
      <c r="I452" s="154"/>
    </row>
    <row r="453" spans="2:9">
      <c r="B453" s="138" t="s">
        <v>513</v>
      </c>
      <c r="C453" s="139" t="s">
        <v>548</v>
      </c>
      <c r="D453" s="169" t="s">
        <v>144</v>
      </c>
      <c r="E453" s="140" t="s">
        <v>549</v>
      </c>
      <c r="F453" s="176">
        <v>3680736.24</v>
      </c>
      <c r="G453" s="139">
        <v>31</v>
      </c>
      <c r="H453" s="153"/>
      <c r="I453" s="154"/>
    </row>
    <row r="454" spans="2:9">
      <c r="B454" s="138" t="s">
        <v>514</v>
      </c>
      <c r="C454" s="139" t="s">
        <v>548</v>
      </c>
      <c r="D454" s="169" t="s">
        <v>136</v>
      </c>
      <c r="E454" s="140" t="s">
        <v>549</v>
      </c>
      <c r="F454" s="176">
        <v>12631236.57</v>
      </c>
      <c r="G454" s="139">
        <v>78</v>
      </c>
      <c r="H454" s="153"/>
      <c r="I454" s="154"/>
    </row>
    <row r="455" spans="2:9">
      <c r="B455" s="138" t="s">
        <v>515</v>
      </c>
      <c r="C455" s="139" t="s">
        <v>548</v>
      </c>
      <c r="D455" s="169" t="s">
        <v>32</v>
      </c>
      <c r="E455" s="140" t="s">
        <v>549</v>
      </c>
      <c r="F455" s="176">
        <v>4639319.7699999996</v>
      </c>
      <c r="G455" s="139">
        <v>26</v>
      </c>
      <c r="H455" s="153"/>
      <c r="I455" s="154"/>
    </row>
    <row r="456" spans="2:9">
      <c r="B456" s="138" t="s">
        <v>516</v>
      </c>
      <c r="C456" s="139" t="s">
        <v>548</v>
      </c>
      <c r="D456" s="169" t="s">
        <v>116</v>
      </c>
      <c r="E456" s="140" t="s">
        <v>549</v>
      </c>
      <c r="F456" s="176">
        <v>16281689.009999998</v>
      </c>
      <c r="G456" s="139">
        <v>71</v>
      </c>
      <c r="H456" s="153"/>
      <c r="I456" s="154"/>
    </row>
    <row r="457" spans="2:9">
      <c r="B457" s="138" t="s">
        <v>517</v>
      </c>
      <c r="C457" s="139" t="s">
        <v>550</v>
      </c>
      <c r="D457" s="169" t="s">
        <v>150</v>
      </c>
      <c r="E457" s="140" t="s">
        <v>547</v>
      </c>
      <c r="F457" s="176">
        <v>1574055.2599999998</v>
      </c>
      <c r="G457" s="139">
        <v>25</v>
      </c>
      <c r="H457" s="153"/>
      <c r="I457" s="154"/>
    </row>
    <row r="458" spans="2:9">
      <c r="B458" s="138" t="s">
        <v>648</v>
      </c>
      <c r="C458" s="139" t="s">
        <v>550</v>
      </c>
      <c r="D458" s="169" t="s">
        <v>150</v>
      </c>
      <c r="E458" s="140" t="s">
        <v>547</v>
      </c>
      <c r="F458" s="176">
        <v>2831108.01</v>
      </c>
      <c r="G458" s="139">
        <v>50</v>
      </c>
      <c r="H458" s="153"/>
      <c r="I458" s="154"/>
    </row>
    <row r="459" spans="2:9">
      <c r="B459" s="138" t="s">
        <v>518</v>
      </c>
      <c r="C459" s="139" t="s">
        <v>548</v>
      </c>
      <c r="D459" s="169" t="s">
        <v>125</v>
      </c>
      <c r="E459" s="140" t="s">
        <v>547</v>
      </c>
      <c r="F459" s="176">
        <v>4691525.26</v>
      </c>
      <c r="G459" s="139">
        <v>97</v>
      </c>
      <c r="H459" s="153"/>
      <c r="I459" s="154"/>
    </row>
    <row r="460" spans="2:9">
      <c r="B460" s="138" t="s">
        <v>519</v>
      </c>
      <c r="C460" s="139" t="s">
        <v>548</v>
      </c>
      <c r="D460" s="169" t="s">
        <v>125</v>
      </c>
      <c r="E460" s="140" t="s">
        <v>547</v>
      </c>
      <c r="F460" s="176">
        <v>4560072.07</v>
      </c>
      <c r="G460" s="139">
        <v>60</v>
      </c>
      <c r="H460" s="153"/>
      <c r="I460" s="154"/>
    </row>
    <row r="461" spans="2:9">
      <c r="B461" s="138" t="s">
        <v>520</v>
      </c>
      <c r="C461" s="139" t="s">
        <v>550</v>
      </c>
      <c r="D461" s="169" t="s">
        <v>99</v>
      </c>
      <c r="E461" s="140" t="s">
        <v>547</v>
      </c>
      <c r="F461" s="176">
        <v>7700707.4000000004</v>
      </c>
      <c r="G461" s="139">
        <v>100</v>
      </c>
      <c r="H461" s="153"/>
      <c r="I461" s="154"/>
    </row>
    <row r="462" spans="2:9">
      <c r="B462" s="138" t="s">
        <v>521</v>
      </c>
      <c r="C462" s="139" t="s">
        <v>550</v>
      </c>
      <c r="D462" s="169" t="s">
        <v>99</v>
      </c>
      <c r="E462" s="140" t="s">
        <v>547</v>
      </c>
      <c r="F462" s="176">
        <v>7913904.8700000001</v>
      </c>
      <c r="G462" s="139">
        <v>67</v>
      </c>
      <c r="H462" s="153"/>
      <c r="I462" s="154"/>
    </row>
    <row r="463" spans="2:9">
      <c r="B463" s="138" t="s">
        <v>522</v>
      </c>
      <c r="C463" s="139" t="s">
        <v>550</v>
      </c>
      <c r="D463" s="169" t="s">
        <v>158</v>
      </c>
      <c r="E463" s="140" t="s">
        <v>547</v>
      </c>
      <c r="F463" s="176">
        <v>4115763.9499999997</v>
      </c>
      <c r="G463" s="139">
        <v>40</v>
      </c>
      <c r="H463" s="153"/>
      <c r="I463" s="154"/>
    </row>
    <row r="464" spans="2:9">
      <c r="B464" s="138" t="s">
        <v>523</v>
      </c>
      <c r="C464" s="139" t="s">
        <v>550</v>
      </c>
      <c r="D464" s="169" t="s">
        <v>158</v>
      </c>
      <c r="E464" s="140" t="s">
        <v>547</v>
      </c>
      <c r="F464" s="176">
        <v>2828854.66</v>
      </c>
      <c r="G464" s="139">
        <v>40</v>
      </c>
      <c r="H464" s="153"/>
      <c r="I464" s="154"/>
    </row>
    <row r="465" spans="2:9">
      <c r="B465" s="138" t="s">
        <v>649</v>
      </c>
      <c r="C465" s="139" t="s">
        <v>550</v>
      </c>
      <c r="D465" s="169" t="s">
        <v>158</v>
      </c>
      <c r="E465" s="140" t="s">
        <v>547</v>
      </c>
      <c r="F465" s="176">
        <v>1385514.73</v>
      </c>
      <c r="G465" s="139">
        <v>24</v>
      </c>
      <c r="H465" s="153"/>
      <c r="I465" s="154"/>
    </row>
    <row r="466" spans="2:9">
      <c r="B466" s="138" t="s">
        <v>524</v>
      </c>
      <c r="C466" s="139" t="s">
        <v>548</v>
      </c>
      <c r="D466" s="169" t="s">
        <v>103</v>
      </c>
      <c r="E466" s="140" t="s">
        <v>549</v>
      </c>
      <c r="F466" s="176">
        <v>19507839.890000001</v>
      </c>
      <c r="G466" s="139">
        <v>76</v>
      </c>
      <c r="H466" s="153"/>
      <c r="I466" s="154"/>
    </row>
    <row r="467" spans="2:9">
      <c r="B467" s="138" t="s">
        <v>525</v>
      </c>
      <c r="C467" s="139" t="s">
        <v>548</v>
      </c>
      <c r="D467" s="169" t="s">
        <v>137</v>
      </c>
      <c r="E467" s="140" t="s">
        <v>549</v>
      </c>
      <c r="F467" s="176">
        <v>11483320.300000001</v>
      </c>
      <c r="G467" s="139">
        <v>70</v>
      </c>
      <c r="H467" s="153"/>
      <c r="I467" s="154"/>
    </row>
    <row r="468" spans="2:9">
      <c r="B468" s="138" t="s">
        <v>650</v>
      </c>
      <c r="C468" s="139" t="s">
        <v>548</v>
      </c>
      <c r="D468" s="169" t="s">
        <v>97</v>
      </c>
      <c r="E468" s="140" t="s">
        <v>547</v>
      </c>
      <c r="F468" s="176">
        <v>8439430.6899999995</v>
      </c>
      <c r="G468" s="139">
        <v>103</v>
      </c>
      <c r="H468" s="153"/>
      <c r="I468" s="154"/>
    </row>
    <row r="469" spans="2:9">
      <c r="B469" s="138" t="s">
        <v>526</v>
      </c>
      <c r="C469" s="139" t="s">
        <v>550</v>
      </c>
      <c r="D469" s="169" t="s">
        <v>117</v>
      </c>
      <c r="E469" s="140" t="s">
        <v>549</v>
      </c>
      <c r="F469" s="176">
        <v>8775162.9699999988</v>
      </c>
      <c r="G469" s="139">
        <v>81</v>
      </c>
      <c r="H469" s="153"/>
      <c r="I469" s="154"/>
    </row>
    <row r="470" spans="2:9">
      <c r="B470" s="138" t="s">
        <v>651</v>
      </c>
      <c r="C470" s="139" t="s">
        <v>548</v>
      </c>
      <c r="D470" s="169" t="s">
        <v>136</v>
      </c>
      <c r="E470" s="140" t="s">
        <v>547</v>
      </c>
      <c r="F470" s="176">
        <v>5767388.7699999996</v>
      </c>
      <c r="G470" s="139">
        <v>67</v>
      </c>
      <c r="H470" s="153"/>
      <c r="I470" s="154"/>
    </row>
    <row r="471" spans="2:9">
      <c r="B471" s="138" t="s">
        <v>527</v>
      </c>
      <c r="C471" s="139" t="s">
        <v>548</v>
      </c>
      <c r="D471" s="169" t="s">
        <v>154</v>
      </c>
      <c r="E471" s="140" t="s">
        <v>549</v>
      </c>
      <c r="F471" s="176">
        <v>7503685.5600000005</v>
      </c>
      <c r="G471" s="139">
        <v>80</v>
      </c>
      <c r="H471" s="153"/>
      <c r="I471" s="154"/>
    </row>
    <row r="472" spans="2:9">
      <c r="B472" s="138" t="s">
        <v>652</v>
      </c>
      <c r="C472" s="139" t="s">
        <v>548</v>
      </c>
      <c r="D472" s="169" t="s">
        <v>154</v>
      </c>
      <c r="E472" s="140" t="s">
        <v>547</v>
      </c>
      <c r="F472" s="176">
        <v>2646070.87</v>
      </c>
      <c r="G472" s="139">
        <v>60</v>
      </c>
      <c r="H472" s="153"/>
      <c r="I472" s="154"/>
    </row>
    <row r="473" spans="2:9">
      <c r="B473" s="138" t="s">
        <v>653</v>
      </c>
      <c r="C473" s="139" t="s">
        <v>548</v>
      </c>
      <c r="D473" s="169" t="s">
        <v>97</v>
      </c>
      <c r="E473" s="140" t="s">
        <v>547</v>
      </c>
      <c r="F473" s="176">
        <v>1541499.67</v>
      </c>
      <c r="G473" s="139">
        <v>31</v>
      </c>
      <c r="H473" s="153"/>
      <c r="I473" s="154"/>
    </row>
    <row r="474" spans="2:9">
      <c r="B474" s="138" t="s">
        <v>528</v>
      </c>
      <c r="C474" s="139" t="s">
        <v>550</v>
      </c>
      <c r="D474" s="169" t="s">
        <v>121</v>
      </c>
      <c r="E474" s="140" t="s">
        <v>547</v>
      </c>
      <c r="F474" s="176">
        <v>2312103.7999999998</v>
      </c>
      <c r="G474" s="139">
        <v>34</v>
      </c>
      <c r="H474" s="153"/>
      <c r="I474" s="154"/>
    </row>
    <row r="475" spans="2:9">
      <c r="B475" s="138" t="s">
        <v>529</v>
      </c>
      <c r="C475" s="139" t="s">
        <v>548</v>
      </c>
      <c r="D475" s="169" t="s">
        <v>133</v>
      </c>
      <c r="E475" s="140" t="s">
        <v>549</v>
      </c>
      <c r="F475" s="176">
        <v>23884257.690000001</v>
      </c>
      <c r="G475" s="139">
        <v>90</v>
      </c>
      <c r="H475" s="153"/>
      <c r="I475" s="154"/>
    </row>
    <row r="476" spans="2:9">
      <c r="B476" s="138" t="s">
        <v>530</v>
      </c>
      <c r="C476" s="139" t="s">
        <v>548</v>
      </c>
      <c r="D476" s="169" t="s">
        <v>103</v>
      </c>
      <c r="E476" s="140" t="s">
        <v>549</v>
      </c>
      <c r="F476" s="176">
        <v>18154385.189999998</v>
      </c>
      <c r="G476" s="139">
        <v>78</v>
      </c>
      <c r="H476" s="153"/>
      <c r="I476" s="154"/>
    </row>
    <row r="477" spans="2:9">
      <c r="B477" s="138" t="s">
        <v>531</v>
      </c>
      <c r="C477" s="139" t="s">
        <v>548</v>
      </c>
      <c r="D477" s="169" t="s">
        <v>140</v>
      </c>
      <c r="E477" s="140" t="s">
        <v>549</v>
      </c>
      <c r="F477" s="176">
        <v>5381989.5899999999</v>
      </c>
      <c r="G477" s="139">
        <v>40</v>
      </c>
      <c r="H477" s="153"/>
      <c r="I477" s="154"/>
    </row>
    <row r="478" spans="2:9">
      <c r="B478" s="138" t="s">
        <v>532</v>
      </c>
      <c r="C478" s="139" t="s">
        <v>548</v>
      </c>
      <c r="D478" s="169" t="s">
        <v>122</v>
      </c>
      <c r="E478" s="140" t="s">
        <v>549</v>
      </c>
      <c r="F478" s="176">
        <v>6636885.6400000006</v>
      </c>
      <c r="G478" s="139">
        <v>40</v>
      </c>
      <c r="H478" s="153"/>
      <c r="I478" s="154"/>
    </row>
    <row r="479" spans="2:9">
      <c r="B479" s="138" t="s">
        <v>533</v>
      </c>
      <c r="C479" s="139" t="s">
        <v>548</v>
      </c>
      <c r="D479" s="169" t="s">
        <v>154</v>
      </c>
      <c r="E479" s="140" t="s">
        <v>549</v>
      </c>
      <c r="F479" s="176">
        <v>10020896.27</v>
      </c>
      <c r="G479" s="139">
        <v>70</v>
      </c>
      <c r="H479" s="153"/>
      <c r="I479" s="154"/>
    </row>
    <row r="480" spans="2:9">
      <c r="B480" s="138" t="s">
        <v>534</v>
      </c>
      <c r="C480" s="139" t="s">
        <v>550</v>
      </c>
      <c r="D480" s="169" t="s">
        <v>158</v>
      </c>
      <c r="E480" s="140" t="s">
        <v>549</v>
      </c>
      <c r="F480" s="176">
        <v>4281067.0599999996</v>
      </c>
      <c r="G480" s="139">
        <v>34</v>
      </c>
      <c r="H480" s="153"/>
      <c r="I480" s="154"/>
    </row>
    <row r="481" spans="2:9">
      <c r="B481" s="138" t="s">
        <v>535</v>
      </c>
      <c r="C481" s="139" t="s">
        <v>548</v>
      </c>
      <c r="D481" s="169" t="s">
        <v>136</v>
      </c>
      <c r="E481" s="140" t="s">
        <v>549</v>
      </c>
      <c r="F481" s="176">
        <v>3917463.96</v>
      </c>
      <c r="G481" s="139">
        <v>40</v>
      </c>
      <c r="H481" s="153"/>
      <c r="I481" s="154"/>
    </row>
    <row r="482" spans="2:9">
      <c r="B482" s="138" t="s">
        <v>536</v>
      </c>
      <c r="C482" s="139" t="s">
        <v>548</v>
      </c>
      <c r="D482" s="169" t="s">
        <v>153</v>
      </c>
      <c r="E482" s="140" t="s">
        <v>547</v>
      </c>
      <c r="F482" s="176">
        <v>4698292.7699999996</v>
      </c>
      <c r="G482" s="139">
        <v>50</v>
      </c>
      <c r="H482" s="153"/>
      <c r="I482" s="154"/>
    </row>
    <row r="483" spans="2:9">
      <c r="B483" s="138" t="s">
        <v>537</v>
      </c>
      <c r="C483" s="139" t="s">
        <v>550</v>
      </c>
      <c r="D483" s="169" t="s">
        <v>115</v>
      </c>
      <c r="E483" s="140" t="s">
        <v>549</v>
      </c>
      <c r="F483" s="176">
        <v>6986504.9199999999</v>
      </c>
      <c r="G483" s="139">
        <v>40</v>
      </c>
      <c r="H483" s="153"/>
      <c r="I483" s="154"/>
    </row>
    <row r="484" spans="2:9">
      <c r="B484" s="138" t="s">
        <v>538</v>
      </c>
      <c r="C484" s="139" t="s">
        <v>550</v>
      </c>
      <c r="D484" s="169" t="s">
        <v>98</v>
      </c>
      <c r="E484" s="140" t="s">
        <v>547</v>
      </c>
      <c r="F484" s="176">
        <v>6598874.8700000001</v>
      </c>
      <c r="G484" s="139">
        <v>68</v>
      </c>
      <c r="H484" s="153"/>
      <c r="I484" s="154"/>
    </row>
    <row r="485" spans="2:9">
      <c r="B485" s="138" t="s">
        <v>539</v>
      </c>
      <c r="C485" s="139" t="s">
        <v>550</v>
      </c>
      <c r="D485" s="169" t="s">
        <v>98</v>
      </c>
      <c r="E485" s="140" t="s">
        <v>547</v>
      </c>
      <c r="F485" s="176">
        <v>537127.91</v>
      </c>
      <c r="G485" s="139">
        <v>15</v>
      </c>
      <c r="H485" s="153"/>
      <c r="I485" s="154"/>
    </row>
    <row r="486" spans="2:9">
      <c r="B486" s="138" t="s">
        <v>540</v>
      </c>
      <c r="C486" s="139" t="s">
        <v>550</v>
      </c>
      <c r="D486" s="169" t="s">
        <v>98</v>
      </c>
      <c r="E486" s="140" t="s">
        <v>547</v>
      </c>
      <c r="F486" s="176">
        <v>4617975.08</v>
      </c>
      <c r="G486" s="139">
        <v>55</v>
      </c>
      <c r="H486" s="153"/>
      <c r="I486" s="154"/>
    </row>
    <row r="487" spans="2:9">
      <c r="B487" s="138" t="s">
        <v>543</v>
      </c>
      <c r="C487" s="139" t="s">
        <v>548</v>
      </c>
      <c r="D487" s="169" t="s">
        <v>130</v>
      </c>
      <c r="E487" s="140" t="s">
        <v>547</v>
      </c>
      <c r="F487" s="176">
        <v>9177797.4100000001</v>
      </c>
      <c r="G487" s="139">
        <v>103</v>
      </c>
      <c r="H487" s="153"/>
      <c r="I487" s="154"/>
    </row>
    <row r="488" spans="2:9">
      <c r="B488" s="138" t="s">
        <v>544</v>
      </c>
      <c r="C488" s="139" t="s">
        <v>548</v>
      </c>
      <c r="D488" s="169" t="s">
        <v>130</v>
      </c>
      <c r="E488" s="140" t="s">
        <v>547</v>
      </c>
      <c r="F488" s="176">
        <v>15039996.739999998</v>
      </c>
      <c r="G488" s="139">
        <v>76</v>
      </c>
      <c r="H488" s="153"/>
      <c r="I488" s="154"/>
    </row>
    <row r="489" spans="2:9">
      <c r="B489" s="138" t="s">
        <v>542</v>
      </c>
      <c r="C489" s="139" t="s">
        <v>548</v>
      </c>
      <c r="D489" s="169" t="s">
        <v>130</v>
      </c>
      <c r="E489" s="140" t="s">
        <v>547</v>
      </c>
      <c r="F489" s="176">
        <v>1557080.3800000001</v>
      </c>
      <c r="G489" s="139">
        <v>29</v>
      </c>
      <c r="H489" s="153"/>
      <c r="I489" s="154"/>
    </row>
    <row r="490" spans="2:9">
      <c r="B490" s="138" t="s">
        <v>545</v>
      </c>
      <c r="C490" s="139" t="s">
        <v>548</v>
      </c>
      <c r="D490" s="169" t="s">
        <v>156</v>
      </c>
      <c r="E490" s="140" t="s">
        <v>549</v>
      </c>
      <c r="F490" s="176">
        <v>5021861.09</v>
      </c>
      <c r="G490" s="139">
        <v>70</v>
      </c>
      <c r="H490" s="153"/>
      <c r="I490" s="154"/>
    </row>
    <row r="491" spans="2:9">
      <c r="B491" s="138" t="s">
        <v>546</v>
      </c>
      <c r="C491" s="139" t="s">
        <v>548</v>
      </c>
      <c r="D491" s="169" t="s">
        <v>112</v>
      </c>
      <c r="E491" s="140" t="s">
        <v>549</v>
      </c>
      <c r="F491" s="176">
        <v>14262992.98</v>
      </c>
      <c r="G491" s="139">
        <v>100</v>
      </c>
      <c r="H491" s="153"/>
      <c r="I491" s="154"/>
    </row>
    <row r="492" spans="2:9" ht="13">
      <c r="B492"/>
      <c r="C492"/>
      <c r="D492"/>
      <c r="E492"/>
      <c r="F492" s="177"/>
      <c r="G492"/>
      <c r="H492" s="153"/>
      <c r="I492" s="154"/>
    </row>
    <row r="493" spans="2:9" ht="13">
      <c r="B493"/>
      <c r="C493"/>
      <c r="D493"/>
      <c r="E493"/>
      <c r="F493"/>
      <c r="G493"/>
      <c r="H493" s="153"/>
      <c r="I493" s="154"/>
    </row>
    <row r="494" spans="2:9" ht="13">
      <c r="B494"/>
      <c r="C494"/>
      <c r="D494"/>
      <c r="E494"/>
      <c r="F494"/>
      <c r="G494"/>
      <c r="H494" s="153"/>
      <c r="I494" s="154"/>
    </row>
    <row r="495" spans="2:9" ht="13">
      <c r="B495"/>
      <c r="C495"/>
      <c r="D495"/>
      <c r="E495"/>
      <c r="F495"/>
      <c r="G495"/>
    </row>
    <row r="496" spans="2:9" ht="13">
      <c r="B496"/>
      <c r="C496"/>
      <c r="D496"/>
      <c r="E496"/>
      <c r="F496"/>
      <c r="G496"/>
    </row>
    <row r="497" spans="2:27" ht="13">
      <c r="B497"/>
      <c r="C497"/>
      <c r="D497"/>
      <c r="E497"/>
      <c r="F497"/>
      <c r="G497"/>
    </row>
    <row r="498" spans="2:27" ht="13">
      <c r="B498"/>
      <c r="C498"/>
      <c r="D498"/>
      <c r="E498"/>
      <c r="F498"/>
      <c r="G498"/>
    </row>
    <row r="499" spans="2:27" ht="13">
      <c r="B499"/>
      <c r="C499"/>
      <c r="D499"/>
      <c r="E499"/>
      <c r="F499"/>
      <c r="G499"/>
    </row>
    <row r="500" spans="2:27" s="135" customFormat="1" ht="13">
      <c r="B500"/>
      <c r="C500"/>
      <c r="D500"/>
      <c r="E500"/>
      <c r="F500"/>
      <c r="G500"/>
      <c r="H500" s="155"/>
      <c r="I500" s="155"/>
      <c r="J500" s="155"/>
      <c r="K500" s="152"/>
      <c r="L500" s="155"/>
      <c r="M500" s="155"/>
      <c r="N500" s="155"/>
      <c r="O500" s="152"/>
      <c r="P500" s="155"/>
      <c r="Q500" s="155"/>
      <c r="R500" s="155"/>
      <c r="S500" s="155"/>
      <c r="T500" s="155"/>
      <c r="U500" s="155"/>
      <c r="V500" s="155"/>
      <c r="W500" s="155"/>
      <c r="X500" s="155"/>
      <c r="Y500" s="155"/>
      <c r="Z500" s="155"/>
      <c r="AA500" s="155"/>
    </row>
    <row r="501" spans="2:27" ht="13">
      <c r="B501"/>
      <c r="C501"/>
      <c r="D501"/>
      <c r="E501"/>
      <c r="F501"/>
      <c r="G501"/>
    </row>
    <row r="502" spans="2:27" ht="13">
      <c r="B502"/>
      <c r="C502"/>
      <c r="D502"/>
      <c r="E502"/>
      <c r="F502"/>
      <c r="G502"/>
    </row>
    <row r="503" spans="2:27">
      <c r="B503" s="133"/>
    </row>
    <row r="504" spans="2:27">
      <c r="B504" s="133"/>
    </row>
    <row r="505" spans="2:27">
      <c r="B505" s="133"/>
    </row>
    <row r="506" spans="2:27">
      <c r="B506" s="141"/>
      <c r="C506" s="142"/>
      <c r="D506" s="142"/>
      <c r="E506" s="143"/>
    </row>
    <row r="507" spans="2:27">
      <c r="B507" s="141"/>
      <c r="C507" s="142"/>
      <c r="D507" s="142"/>
      <c r="E507" s="143"/>
    </row>
    <row r="508" spans="2:27">
      <c r="B508" s="141"/>
      <c r="C508" s="142"/>
      <c r="D508" s="142"/>
      <c r="E508" s="143"/>
    </row>
    <row r="509" spans="2:27">
      <c r="B509" s="141"/>
      <c r="C509" s="142"/>
      <c r="D509" s="142"/>
      <c r="E509" s="143"/>
    </row>
    <row r="510" spans="2:27">
      <c r="B510" s="141"/>
      <c r="C510" s="142"/>
      <c r="D510" s="142"/>
      <c r="E510" s="143"/>
    </row>
    <row r="511" spans="2:27">
      <c r="B511" s="141"/>
      <c r="C511" s="142"/>
      <c r="D511" s="142"/>
      <c r="E511" s="143"/>
    </row>
    <row r="512" spans="2:27">
      <c r="B512" s="141"/>
      <c r="C512" s="142"/>
      <c r="D512" s="142"/>
      <c r="E512" s="143"/>
    </row>
    <row r="513" spans="2:5">
      <c r="B513" s="141"/>
      <c r="C513" s="142"/>
      <c r="D513" s="142"/>
      <c r="E513" s="143"/>
    </row>
    <row r="514" spans="2:5">
      <c r="B514" s="141"/>
      <c r="C514" s="142"/>
      <c r="D514" s="142"/>
      <c r="E514" s="143"/>
    </row>
    <row r="515" spans="2:5">
      <c r="B515" s="141"/>
      <c r="C515" s="142"/>
      <c r="D515" s="142"/>
      <c r="E515" s="143"/>
    </row>
    <row r="516" spans="2:5">
      <c r="B516" s="144"/>
    </row>
    <row r="851" spans="15:15">
      <c r="O851" s="155"/>
    </row>
  </sheetData>
  <sheetProtection sheet="1" autoFilter="0"/>
  <autoFilter ref="C6:E502" xr:uid="{77A6B5D7-F389-4A7B-9151-FE8AB9A5D8CA}"/>
  <sortState xmlns:xlrd2="http://schemas.microsoft.com/office/spreadsheetml/2017/richdata2" ref="B6:G497">
    <sortCondition ref="B6:B497"/>
  </sortState>
  <conditionalFormatting sqref="H6:H494">
    <cfRule type="duplicateValues" dxfId="1" priority="21"/>
  </conditionalFormatting>
  <conditionalFormatting sqref="O481:O972">
    <cfRule type="duplicateValues" dxfId="0" priority="3" stopIfTrue="1"/>
  </conditionalFormatting>
  <pageMargins left="0.70866141732283472" right="0.70866141732283472" top="0.39370078740157483" bottom="0.39370078740157483" header="0.31496062992125984" footer="0.31496062992125984"/>
  <pageSetup paperSize="9" scale="72" fitToHeight="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showGridLines="0" showRowColHeaders="0" zoomScale="74" zoomScaleNormal="74" workbookViewId="0">
      <pane xSplit="2" ySplit="4" topLeftCell="C5" activePane="bottomRight" state="frozen"/>
      <selection pane="topRight" activeCell="C1" sqref="C1"/>
      <selection pane="bottomLeft" activeCell="A5" sqref="A5"/>
      <selection pane="bottomRight" activeCell="AB2" sqref="AB2"/>
    </sheetView>
  </sheetViews>
  <sheetFormatPr defaultColWidth="9.08984375" defaultRowHeight="12.5"/>
  <cols>
    <col min="1" max="1" width="3.08984375" style="35" customWidth="1"/>
    <col min="2" max="2" width="20.81640625" style="12" customWidth="1"/>
    <col min="3" max="20" width="12.6328125" style="12" customWidth="1"/>
    <col min="21" max="21" width="14.6328125" customWidth="1"/>
    <col min="22" max="22" width="22.26953125" customWidth="1"/>
    <col min="23" max="23" width="14.6328125" customWidth="1"/>
    <col min="24" max="24" width="11.6328125" customWidth="1"/>
    <col min="25" max="25" width="9.7265625" customWidth="1"/>
    <col min="26" max="26" width="19.81640625" customWidth="1"/>
    <col min="27" max="28" width="12" customWidth="1"/>
    <col min="29" max="29" width="18.08984375" customWidth="1"/>
    <col min="30" max="31" width="12.36328125" customWidth="1"/>
    <col min="32" max="35" width="8.81640625" customWidth="1"/>
    <col min="38" max="39" width="8.6328125" customWidth="1"/>
    <col min="40" max="41" width="8.36328125" customWidth="1"/>
    <col min="42" max="43" width="12.36328125" customWidth="1"/>
    <col min="44" max="51" width="10.6328125" customWidth="1"/>
    <col min="52" max="58" width="10.26953125" customWidth="1"/>
    <col min="59" max="63" width="9.81640625" customWidth="1"/>
    <col min="64" max="65" width="10" customWidth="1"/>
    <col min="66" max="66" width="14" customWidth="1"/>
    <col min="67" max="67" width="13.08984375" customWidth="1"/>
    <col min="68" max="68" width="13.7265625" customWidth="1"/>
    <col min="69" max="69" width="10.81640625" customWidth="1"/>
    <col min="70" max="70" width="10.7265625" customWidth="1"/>
    <col min="71" max="71" width="13.7265625" customWidth="1"/>
    <col min="72" max="72" width="12.81640625" customWidth="1"/>
    <col min="73" max="73" width="14.08984375" customWidth="1"/>
    <col min="74" max="78" width="14.36328125" customWidth="1"/>
    <col min="79" max="79" width="16.36328125" customWidth="1"/>
    <col min="80" max="80" width="12.36328125" customWidth="1"/>
    <col min="91" max="16384" width="9.08984375" style="12"/>
  </cols>
  <sheetData>
    <row r="1" spans="1:24" customFormat="1">
      <c r="A1" s="36">
        <v>1</v>
      </c>
      <c r="B1" s="36">
        <v>2</v>
      </c>
      <c r="C1" s="36">
        <v>3</v>
      </c>
      <c r="D1" s="51">
        <v>4</v>
      </c>
      <c r="E1" s="36">
        <v>5</v>
      </c>
      <c r="F1" s="36">
        <v>6</v>
      </c>
      <c r="G1" s="36">
        <v>7</v>
      </c>
      <c r="H1" s="51">
        <v>8</v>
      </c>
      <c r="I1" s="36">
        <v>9</v>
      </c>
      <c r="J1" s="36">
        <v>10</v>
      </c>
      <c r="K1" s="36">
        <v>11</v>
      </c>
      <c r="L1" s="36">
        <v>12</v>
      </c>
      <c r="M1" s="51">
        <v>13</v>
      </c>
      <c r="N1" s="36">
        <v>14</v>
      </c>
      <c r="O1" s="36">
        <v>15</v>
      </c>
      <c r="P1" s="36">
        <v>16</v>
      </c>
      <c r="Q1" s="36">
        <v>17</v>
      </c>
      <c r="R1" s="51">
        <v>18</v>
      </c>
      <c r="S1" s="36">
        <v>19</v>
      </c>
      <c r="T1" s="36">
        <v>20</v>
      </c>
    </row>
    <row r="2" spans="1:24" customFormat="1">
      <c r="A2" s="35"/>
      <c r="B2" s="12"/>
      <c r="C2" s="12"/>
      <c r="D2" s="52"/>
      <c r="E2" s="52"/>
      <c r="F2" s="53"/>
      <c r="G2" s="53"/>
      <c r="H2" s="106" t="s">
        <v>705</v>
      </c>
      <c r="I2" s="106" t="s">
        <v>690</v>
      </c>
      <c r="J2" s="12"/>
      <c r="K2" s="12"/>
      <c r="M2" s="12"/>
      <c r="N2" s="12"/>
      <c r="O2" s="12"/>
      <c r="P2" s="12"/>
      <c r="Q2" s="12"/>
      <c r="R2" s="12"/>
      <c r="S2" s="12"/>
      <c r="T2" s="12"/>
    </row>
    <row r="3" spans="1:24" customFormat="1" ht="14.5">
      <c r="A3" s="35"/>
      <c r="B3" s="12"/>
      <c r="C3" s="12"/>
      <c r="D3" s="52"/>
      <c r="E3" s="52"/>
      <c r="F3" s="53"/>
      <c r="G3" s="53"/>
      <c r="H3" s="172">
        <v>141.19999999999999</v>
      </c>
      <c r="I3" s="172">
        <v>138.4</v>
      </c>
      <c r="J3" s="12"/>
      <c r="K3" s="50"/>
      <c r="M3" s="50"/>
      <c r="N3" s="50"/>
      <c r="O3" s="50"/>
      <c r="P3" s="50"/>
      <c r="Q3" s="50"/>
      <c r="R3" s="50"/>
      <c r="S3" s="12"/>
      <c r="T3" s="12"/>
    </row>
    <row r="4" spans="1:24" customFormat="1" ht="69.75" customHeight="1">
      <c r="A4" s="35"/>
      <c r="B4" s="12"/>
      <c r="C4" s="173" t="s">
        <v>707</v>
      </c>
      <c r="D4" s="119" t="s">
        <v>691</v>
      </c>
      <c r="E4" s="119" t="s">
        <v>708</v>
      </c>
      <c r="F4" s="119" t="s">
        <v>709</v>
      </c>
      <c r="H4" s="119" t="s">
        <v>706</v>
      </c>
      <c r="I4" s="119" t="s">
        <v>692</v>
      </c>
      <c r="J4" s="119" t="str">
        <f>CONCATENATE("Ranked ",E4)</f>
        <v>Ranked Venues mid-2025</v>
      </c>
      <c r="K4" s="119" t="str">
        <f>CONCATENATE("Ranked ",F4)</f>
        <v>Ranked EGMs June 2025</v>
      </c>
      <c r="M4" s="119" t="s">
        <v>710</v>
      </c>
      <c r="N4" s="119" t="s">
        <v>711</v>
      </c>
      <c r="O4" s="119" t="s">
        <v>712</v>
      </c>
      <c r="P4" s="119" t="s">
        <v>713</v>
      </c>
      <c r="Q4" s="119" t="s">
        <v>714</v>
      </c>
      <c r="R4" s="119" t="s">
        <v>715</v>
      </c>
      <c r="S4" s="119" t="s">
        <v>716</v>
      </c>
      <c r="T4" s="119" t="s">
        <v>717</v>
      </c>
      <c r="U4" s="119"/>
    </row>
    <row r="5" spans="1:24" customFormat="1" ht="14.5">
      <c r="A5" s="35">
        <v>1</v>
      </c>
      <c r="B5" s="107" t="s">
        <v>4</v>
      </c>
      <c r="C5" s="108">
        <v>13199</v>
      </c>
      <c r="D5" s="109">
        <v>10626.286405704748</v>
      </c>
      <c r="E5" s="109">
        <v>2</v>
      </c>
      <c r="F5" s="109">
        <v>58</v>
      </c>
      <c r="H5" s="110">
        <v>3.05578087</v>
      </c>
      <c r="I5" s="110">
        <v>2.8771794100000001</v>
      </c>
      <c r="J5" s="111">
        <f>RANK(E5,E$5:E$83)</f>
        <v>55</v>
      </c>
      <c r="K5" s="111">
        <f>RANK(F5,F$5:F$83)</f>
        <v>61</v>
      </c>
      <c r="M5" s="112">
        <f>F5/D5*1000</f>
        <v>5.458162690670803</v>
      </c>
      <c r="N5" s="111">
        <f>RANK(M5,M$5:M$83)</f>
        <v>35</v>
      </c>
      <c r="O5" s="111">
        <f t="shared" ref="O5:O36" si="0">RANK(H5,H$5:H$83)</f>
        <v>64</v>
      </c>
      <c r="P5" s="113">
        <f t="shared" ref="P5:P36" si="1">H5/D5*1000000</f>
        <v>287.56808854309594</v>
      </c>
      <c r="Q5" s="111">
        <f>RANK(P5,P$5:P$83)</f>
        <v>55</v>
      </c>
      <c r="R5" s="112">
        <f>(H5-I5)/I5*100</f>
        <v>6.2075190507497711</v>
      </c>
      <c r="S5" s="112">
        <f t="shared" ref="S5:S14" si="2">IF((I5*H$3/I$3)&gt;0,(H5-(I5*H$3/I$3))/(I5*H$3/I$3)*100,"")</f>
        <v>4.1014209392618266</v>
      </c>
      <c r="T5" s="111">
        <f>RANK($S5,$S$5:$S$83)</f>
        <v>19</v>
      </c>
    </row>
    <row r="6" spans="1:24" customFormat="1" ht="14.5">
      <c r="A6" s="35">
        <v>2</v>
      </c>
      <c r="B6" s="107" t="s">
        <v>5</v>
      </c>
      <c r="C6" s="108">
        <v>11686</v>
      </c>
      <c r="D6" s="109">
        <v>9439.0231618591115</v>
      </c>
      <c r="E6" s="109">
        <v>2</v>
      </c>
      <c r="F6" s="109">
        <v>88</v>
      </c>
      <c r="H6" s="110">
        <v>6.7230812000000011</v>
      </c>
      <c r="I6" s="110">
        <v>6.2565689999999998</v>
      </c>
      <c r="J6" s="111">
        <f>RANK(E6,E$5:E$83)</f>
        <v>55</v>
      </c>
      <c r="K6" s="111">
        <f>RANK(F6,F$5:F$83)</f>
        <v>58</v>
      </c>
      <c r="M6" s="112">
        <f t="shared" ref="M6:M69" si="3">F6/D6*1000</f>
        <v>9.3229986293059923</v>
      </c>
      <c r="N6" s="111">
        <f t="shared" ref="N6:N69" si="4">RANK(M6,M$5:M$83)</f>
        <v>4</v>
      </c>
      <c r="O6" s="111">
        <f t="shared" si="0"/>
        <v>56</v>
      </c>
      <c r="P6" s="113">
        <f t="shared" si="1"/>
        <v>712.26450923082825</v>
      </c>
      <c r="Q6" s="111">
        <f t="shared" ref="Q6:Q69" si="5">RANK(P6,P$5:P$83)</f>
        <v>17</v>
      </c>
      <c r="R6" s="112">
        <f t="shared" ref="R6:R14" si="6">(H6-I6)/I6*100</f>
        <v>7.4563582692047561</v>
      </c>
      <c r="S6" s="112">
        <f t="shared" si="2"/>
        <v>5.3254956406369676</v>
      </c>
      <c r="T6" s="111">
        <f t="shared" ref="T6:T36" si="7">RANK($S6,$S$5:$S$83)</f>
        <v>12</v>
      </c>
    </row>
    <row r="7" spans="1:24" customFormat="1" ht="14.5">
      <c r="A7" s="35">
        <v>3</v>
      </c>
      <c r="B7" s="107" t="s">
        <v>6</v>
      </c>
      <c r="C7" s="108">
        <v>121050</v>
      </c>
      <c r="D7" s="109">
        <v>92332.940145762957</v>
      </c>
      <c r="E7" s="109">
        <v>14</v>
      </c>
      <c r="F7" s="109">
        <v>652</v>
      </c>
      <c r="H7" s="110">
        <v>66.37614108999999</v>
      </c>
      <c r="I7" s="110">
        <v>63.55028239</v>
      </c>
      <c r="J7" s="111">
        <f t="shared" ref="J7:K69" si="8">RANK(E7,E$5:E$83)</f>
        <v>6</v>
      </c>
      <c r="K7" s="111">
        <f t="shared" si="8"/>
        <v>15</v>
      </c>
      <c r="M7" s="112">
        <f t="shared" si="3"/>
        <v>7.0614019110699733</v>
      </c>
      <c r="N7" s="111">
        <f t="shared" si="4"/>
        <v>17</v>
      </c>
      <c r="O7" s="111">
        <f t="shared" si="0"/>
        <v>19</v>
      </c>
      <c r="P7" s="113">
        <f t="shared" si="1"/>
        <v>718.87823549444192</v>
      </c>
      <c r="Q7" s="111">
        <f t="shared" si="5"/>
        <v>16</v>
      </c>
      <c r="R7" s="112">
        <f t="shared" si="6"/>
        <v>4.446650107167196</v>
      </c>
      <c r="S7" s="112">
        <f t="shared" si="2"/>
        <v>2.3754700767134853</v>
      </c>
      <c r="T7" s="111">
        <f t="shared" si="7"/>
        <v>27</v>
      </c>
    </row>
    <row r="8" spans="1:24" customFormat="1" ht="14.5">
      <c r="A8" s="35">
        <v>4</v>
      </c>
      <c r="B8" s="107" t="s">
        <v>7</v>
      </c>
      <c r="C8" s="108">
        <v>131931</v>
      </c>
      <c r="D8" s="109">
        <v>102742.12389006342</v>
      </c>
      <c r="E8" s="109">
        <v>9</v>
      </c>
      <c r="F8" s="109">
        <v>634</v>
      </c>
      <c r="H8" s="110">
        <v>59.053993599999991</v>
      </c>
      <c r="I8" s="110">
        <v>58.630345090000006</v>
      </c>
      <c r="J8" s="111">
        <f t="shared" si="8"/>
        <v>21</v>
      </c>
      <c r="K8" s="111">
        <f t="shared" si="8"/>
        <v>20</v>
      </c>
      <c r="M8" s="112">
        <f t="shared" si="3"/>
        <v>6.1707893120682948</v>
      </c>
      <c r="N8" s="111">
        <f t="shared" si="4"/>
        <v>25</v>
      </c>
      <c r="O8" s="111">
        <f t="shared" si="0"/>
        <v>25</v>
      </c>
      <c r="P8" s="113">
        <f t="shared" si="1"/>
        <v>574.77878949815363</v>
      </c>
      <c r="Q8" s="111">
        <f t="shared" si="5"/>
        <v>34</v>
      </c>
      <c r="R8" s="112">
        <f t="shared" si="6"/>
        <v>0.72257550138868776</v>
      </c>
      <c r="S8" s="112">
        <f t="shared" si="2"/>
        <v>-1.2747560241345801</v>
      </c>
      <c r="T8" s="111">
        <f t="shared" si="7"/>
        <v>68</v>
      </c>
      <c r="U8" s="109"/>
    </row>
    <row r="9" spans="1:24" customFormat="1" ht="14.5">
      <c r="A9" s="35">
        <v>5</v>
      </c>
      <c r="B9" s="107" t="s">
        <v>8</v>
      </c>
      <c r="C9" s="108">
        <v>43557</v>
      </c>
      <c r="D9" s="109">
        <v>35288.621652741698</v>
      </c>
      <c r="E9" s="109">
        <v>5</v>
      </c>
      <c r="F9" s="109">
        <v>210</v>
      </c>
      <c r="H9" s="110">
        <v>20.750307700000004</v>
      </c>
      <c r="I9" s="110">
        <v>20.621836609999999</v>
      </c>
      <c r="J9" s="111">
        <f t="shared" si="8"/>
        <v>37</v>
      </c>
      <c r="K9" s="111">
        <f t="shared" si="8"/>
        <v>40</v>
      </c>
      <c r="M9" s="112">
        <f t="shared" si="3"/>
        <v>5.9509266773440084</v>
      </c>
      <c r="N9" s="111">
        <f t="shared" si="4"/>
        <v>31</v>
      </c>
      <c r="O9" s="111">
        <f t="shared" si="0"/>
        <v>39</v>
      </c>
      <c r="P9" s="113">
        <f t="shared" si="1"/>
        <v>588.01695073822293</v>
      </c>
      <c r="Q9" s="111">
        <f t="shared" si="5"/>
        <v>30</v>
      </c>
      <c r="R9" s="112">
        <f t="shared" si="6"/>
        <v>0.62298568468778603</v>
      </c>
      <c r="S9" s="112">
        <f t="shared" si="2"/>
        <v>-1.3723709719490687</v>
      </c>
      <c r="T9" s="111">
        <f t="shared" si="7"/>
        <v>70</v>
      </c>
    </row>
    <row r="10" spans="1:24" customFormat="1" ht="14.5">
      <c r="A10" s="35">
        <v>6</v>
      </c>
      <c r="B10" s="107" t="s">
        <v>9</v>
      </c>
      <c r="C10" s="108">
        <v>61905</v>
      </c>
      <c r="D10" s="109">
        <v>47128.810170833065</v>
      </c>
      <c r="E10" s="109">
        <v>4</v>
      </c>
      <c r="F10" s="109">
        <v>225</v>
      </c>
      <c r="H10" s="110">
        <v>21.741975990000004</v>
      </c>
      <c r="I10" s="110">
        <v>20.430795159999999</v>
      </c>
      <c r="J10" s="111">
        <f t="shared" si="8"/>
        <v>41</v>
      </c>
      <c r="K10" s="111">
        <f t="shared" si="8"/>
        <v>38</v>
      </c>
      <c r="M10" s="112">
        <f t="shared" si="3"/>
        <v>4.774149807398433</v>
      </c>
      <c r="N10" s="111">
        <f t="shared" si="4"/>
        <v>39</v>
      </c>
      <c r="O10" s="111">
        <f t="shared" si="0"/>
        <v>38</v>
      </c>
      <c r="P10" s="113">
        <f t="shared" si="1"/>
        <v>461.33089104497725</v>
      </c>
      <c r="Q10" s="111">
        <f t="shared" si="5"/>
        <v>41</v>
      </c>
      <c r="R10" s="112">
        <f t="shared" si="6"/>
        <v>6.4176691104371342</v>
      </c>
      <c r="S10" s="112">
        <f t="shared" si="2"/>
        <v>4.3074037173123436</v>
      </c>
      <c r="T10" s="111">
        <f t="shared" si="7"/>
        <v>18</v>
      </c>
    </row>
    <row r="11" spans="1:24" customFormat="1" ht="14.5">
      <c r="A11" s="35">
        <v>7</v>
      </c>
      <c r="B11" s="107" t="s">
        <v>10</v>
      </c>
      <c r="C11" s="108">
        <v>106118</v>
      </c>
      <c r="D11" s="109">
        <v>82209.69764462176</v>
      </c>
      <c r="E11" s="109">
        <v>3</v>
      </c>
      <c r="F11" s="109">
        <v>138</v>
      </c>
      <c r="H11" s="110">
        <v>12.464512800000001</v>
      </c>
      <c r="I11" s="110">
        <v>12.380460230000001</v>
      </c>
      <c r="J11" s="111">
        <f t="shared" si="8"/>
        <v>48</v>
      </c>
      <c r="K11" s="111">
        <f t="shared" si="8"/>
        <v>47</v>
      </c>
      <c r="M11" s="112">
        <f t="shared" si="3"/>
        <v>1.6786340778985713</v>
      </c>
      <c r="N11" s="111">
        <f t="shared" si="4"/>
        <v>69</v>
      </c>
      <c r="O11" s="111">
        <f t="shared" si="0"/>
        <v>43</v>
      </c>
      <c r="P11" s="113">
        <f t="shared" si="1"/>
        <v>151.61852138031117</v>
      </c>
      <c r="Q11" s="111">
        <f t="shared" si="5"/>
        <v>67</v>
      </c>
      <c r="R11" s="112">
        <f t="shared" si="6"/>
        <v>0.6789131295485028</v>
      </c>
      <c r="S11" s="112">
        <f t="shared" si="2"/>
        <v>-1.3175525699042852</v>
      </c>
      <c r="T11" s="111">
        <f t="shared" si="7"/>
        <v>69</v>
      </c>
      <c r="U11" s="109"/>
    </row>
    <row r="12" spans="1:24" customFormat="1" ht="14.5">
      <c r="A12" s="35">
        <v>8</v>
      </c>
      <c r="B12" s="107" t="s">
        <v>11</v>
      </c>
      <c r="C12" s="108">
        <v>14635</v>
      </c>
      <c r="D12" s="109">
        <v>11917.517516690757</v>
      </c>
      <c r="E12" s="109">
        <v>3</v>
      </c>
      <c r="F12" s="109">
        <v>105</v>
      </c>
      <c r="H12" s="110">
        <v>6.5532021699999996</v>
      </c>
      <c r="I12" s="110">
        <v>6.3072059999999999</v>
      </c>
      <c r="J12" s="111">
        <f t="shared" si="8"/>
        <v>48</v>
      </c>
      <c r="K12" s="111">
        <f t="shared" si="8"/>
        <v>51</v>
      </c>
      <c r="M12" s="112">
        <f t="shared" si="3"/>
        <v>8.8105597372057627</v>
      </c>
      <c r="N12" s="111">
        <f t="shared" si="4"/>
        <v>6</v>
      </c>
      <c r="O12" s="111">
        <f t="shared" si="0"/>
        <v>57</v>
      </c>
      <c r="P12" s="113">
        <f t="shared" si="1"/>
        <v>549.87980179782323</v>
      </c>
      <c r="Q12" s="111">
        <f t="shared" si="5"/>
        <v>38</v>
      </c>
      <c r="R12" s="112">
        <f t="shared" si="6"/>
        <v>3.9002399794774378</v>
      </c>
      <c r="S12" s="112">
        <f t="shared" si="2"/>
        <v>1.8398952773348336</v>
      </c>
      <c r="T12" s="111">
        <f t="shared" si="7"/>
        <v>34</v>
      </c>
    </row>
    <row r="13" spans="1:24" customFormat="1" ht="14.5">
      <c r="A13" s="35">
        <v>9</v>
      </c>
      <c r="B13" s="107" t="s">
        <v>12</v>
      </c>
      <c r="C13" s="108">
        <v>178008</v>
      </c>
      <c r="D13" s="109">
        <v>140348.88016638308</v>
      </c>
      <c r="E13" s="109">
        <v>4</v>
      </c>
      <c r="F13" s="109">
        <v>161</v>
      </c>
      <c r="H13" s="110">
        <v>19.26361155</v>
      </c>
      <c r="I13" s="110">
        <v>18.805362940000002</v>
      </c>
      <c r="J13" s="111">
        <f t="shared" si="8"/>
        <v>41</v>
      </c>
      <c r="K13" s="111">
        <f t="shared" si="8"/>
        <v>42</v>
      </c>
      <c r="M13" s="112">
        <f t="shared" si="3"/>
        <v>1.1471413224611062</v>
      </c>
      <c r="N13" s="111">
        <f t="shared" si="4"/>
        <v>70</v>
      </c>
      <c r="O13" s="111">
        <f t="shared" si="0"/>
        <v>41</v>
      </c>
      <c r="P13" s="113">
        <f t="shared" si="1"/>
        <v>137.25518527232322</v>
      </c>
      <c r="Q13" s="111">
        <f t="shared" si="5"/>
        <v>68</v>
      </c>
      <c r="R13" s="112">
        <f t="shared" si="6"/>
        <v>2.4367974787940905</v>
      </c>
      <c r="S13" s="112">
        <f t="shared" si="2"/>
        <v>0.40547288289733446</v>
      </c>
      <c r="T13" s="111">
        <f t="shared" si="7"/>
        <v>53</v>
      </c>
      <c r="U13" s="109"/>
      <c r="X13" s="166"/>
    </row>
    <row r="14" spans="1:24" customFormat="1" ht="14.5">
      <c r="A14" s="35">
        <v>10</v>
      </c>
      <c r="B14" s="107" t="s">
        <v>13</v>
      </c>
      <c r="C14" s="108">
        <v>198152</v>
      </c>
      <c r="D14" s="109">
        <v>155807.15027289515</v>
      </c>
      <c r="E14" s="109">
        <v>15</v>
      </c>
      <c r="F14" s="109">
        <v>953</v>
      </c>
      <c r="H14" s="110">
        <v>175.89778003000004</v>
      </c>
      <c r="I14" s="110">
        <v>171.66778249000001</v>
      </c>
      <c r="J14" s="111">
        <f t="shared" si="8"/>
        <v>4</v>
      </c>
      <c r="K14" s="111">
        <f t="shared" si="8"/>
        <v>4</v>
      </c>
      <c r="M14" s="112">
        <f t="shared" si="3"/>
        <v>6.116535719514971</v>
      </c>
      <c r="N14" s="111">
        <f t="shared" si="4"/>
        <v>26</v>
      </c>
      <c r="O14" s="111">
        <f t="shared" si="0"/>
        <v>1</v>
      </c>
      <c r="P14" s="113">
        <f t="shared" si="1"/>
        <v>1128.9454926934757</v>
      </c>
      <c r="Q14" s="111">
        <f t="shared" si="5"/>
        <v>1</v>
      </c>
      <c r="R14" s="112">
        <f t="shared" si="6"/>
        <v>2.4640602206453233</v>
      </c>
      <c r="S14" s="112">
        <f t="shared" si="2"/>
        <v>0.43219500380533665</v>
      </c>
      <c r="T14" s="111">
        <f t="shared" si="7"/>
        <v>52</v>
      </c>
      <c r="U14" s="109"/>
    </row>
    <row r="15" spans="1:24" customFormat="1" ht="14.5">
      <c r="A15" s="35">
        <v>11</v>
      </c>
      <c r="B15" s="107" t="s">
        <v>14</v>
      </c>
      <c r="C15" s="108">
        <v>5956</v>
      </c>
      <c r="D15" s="109">
        <v>4825.9377483443704</v>
      </c>
      <c r="E15" s="109">
        <v>0</v>
      </c>
      <c r="F15" s="109">
        <v>0</v>
      </c>
      <c r="H15" s="110">
        <v>0</v>
      </c>
      <c r="I15" s="110">
        <v>0</v>
      </c>
      <c r="J15" s="111">
        <f t="shared" si="8"/>
        <v>71</v>
      </c>
      <c r="K15" s="111">
        <f t="shared" si="8"/>
        <v>71</v>
      </c>
      <c r="M15" s="112">
        <f t="shared" si="3"/>
        <v>0</v>
      </c>
      <c r="N15" s="111">
        <f t="shared" si="4"/>
        <v>71</v>
      </c>
      <c r="O15" s="111">
        <f t="shared" si="0"/>
        <v>71</v>
      </c>
      <c r="P15" s="113">
        <f t="shared" si="1"/>
        <v>0</v>
      </c>
      <c r="Q15" s="111">
        <f t="shared" si="5"/>
        <v>71</v>
      </c>
      <c r="R15" s="112"/>
      <c r="S15" s="112">
        <v>0</v>
      </c>
      <c r="T15" s="111">
        <f t="shared" si="7"/>
        <v>55</v>
      </c>
    </row>
    <row r="16" spans="1:24" customFormat="1" ht="14.5">
      <c r="A16" s="35">
        <v>12</v>
      </c>
      <c r="B16" s="107" t="s">
        <v>15</v>
      </c>
      <c r="C16" s="108">
        <v>38153</v>
      </c>
      <c r="D16" s="109">
        <v>29791.198088722944</v>
      </c>
      <c r="E16" s="109">
        <v>4</v>
      </c>
      <c r="F16" s="109">
        <v>221</v>
      </c>
      <c r="H16" s="110">
        <v>12.00785677</v>
      </c>
      <c r="I16" s="110">
        <v>11.094364000000001</v>
      </c>
      <c r="J16" s="111">
        <f t="shared" si="8"/>
        <v>41</v>
      </c>
      <c r="K16" s="111">
        <f t="shared" si="8"/>
        <v>39</v>
      </c>
      <c r="M16" s="112">
        <f t="shared" si="3"/>
        <v>7.4182984968186485</v>
      </c>
      <c r="N16" s="111">
        <f t="shared" si="4"/>
        <v>13</v>
      </c>
      <c r="O16" s="111">
        <f t="shared" si="0"/>
        <v>44</v>
      </c>
      <c r="P16" s="113">
        <f t="shared" si="1"/>
        <v>403.06726618508884</v>
      </c>
      <c r="Q16" s="111">
        <f t="shared" si="5"/>
        <v>47</v>
      </c>
      <c r="R16" s="112">
        <f t="shared" ref="R16:R27" si="9">(H16-I16)/I16*100</f>
        <v>8.2338453110065579</v>
      </c>
      <c r="S16" s="112">
        <f t="shared" ref="S16:S27" si="10">IF((I16*H$3/I$3)&gt;0,(H16-(I16*H$3/I$3))/(I16*H$3/I$3)*100,"")</f>
        <v>6.0875650923747031</v>
      </c>
      <c r="T16" s="111">
        <f t="shared" si="7"/>
        <v>10</v>
      </c>
    </row>
    <row r="17" spans="1:21" customFormat="1" ht="14.5">
      <c r="A17" s="35">
        <v>13</v>
      </c>
      <c r="B17" s="107" t="s">
        <v>16</v>
      </c>
      <c r="C17" s="108">
        <v>130383</v>
      </c>
      <c r="D17" s="109">
        <v>94410.190633270337</v>
      </c>
      <c r="E17" s="109">
        <v>6</v>
      </c>
      <c r="F17" s="109">
        <v>405</v>
      </c>
      <c r="H17" s="110">
        <v>39.473887759999997</v>
      </c>
      <c r="I17" s="110">
        <v>36.831475249999997</v>
      </c>
      <c r="J17" s="111">
        <f t="shared" si="8"/>
        <v>34</v>
      </c>
      <c r="K17" s="111">
        <f t="shared" si="8"/>
        <v>29</v>
      </c>
      <c r="M17" s="112">
        <f t="shared" si="3"/>
        <v>4.2897911473687591</v>
      </c>
      <c r="N17" s="111">
        <f t="shared" si="4"/>
        <v>47</v>
      </c>
      <c r="O17" s="111">
        <f t="shared" si="0"/>
        <v>30</v>
      </c>
      <c r="P17" s="113">
        <f t="shared" si="1"/>
        <v>418.11045497549628</v>
      </c>
      <c r="Q17" s="111">
        <f t="shared" si="5"/>
        <v>46</v>
      </c>
      <c r="R17" s="112">
        <f t="shared" si="9"/>
        <v>7.1743325296208447</v>
      </c>
      <c r="S17" s="112">
        <f t="shared" si="10"/>
        <v>5.049062479458394</v>
      </c>
      <c r="T17" s="111">
        <f t="shared" si="7"/>
        <v>13</v>
      </c>
    </row>
    <row r="18" spans="1:21" customFormat="1" ht="14.5">
      <c r="A18" s="35">
        <v>14</v>
      </c>
      <c r="B18" s="107" t="s">
        <v>17</v>
      </c>
      <c r="C18" s="108">
        <v>405415</v>
      </c>
      <c r="D18" s="109">
        <v>292997.04236311238</v>
      </c>
      <c r="E18" s="109">
        <v>13</v>
      </c>
      <c r="F18" s="109">
        <v>913</v>
      </c>
      <c r="H18" s="110">
        <v>166.56442754999998</v>
      </c>
      <c r="I18" s="110">
        <v>158.43528913</v>
      </c>
      <c r="J18" s="111">
        <f t="shared" si="8"/>
        <v>10</v>
      </c>
      <c r="K18" s="111">
        <f t="shared" si="8"/>
        <v>6</v>
      </c>
      <c r="M18" s="112">
        <f>F18/D18*1000</f>
        <v>3.1160724102754438</v>
      </c>
      <c r="N18" s="111">
        <f t="shared" si="4"/>
        <v>60</v>
      </c>
      <c r="O18" s="111">
        <f t="shared" si="0"/>
        <v>2</v>
      </c>
      <c r="P18" s="113">
        <f t="shared" si="1"/>
        <v>568.48501338650385</v>
      </c>
      <c r="Q18" s="111">
        <f t="shared" si="5"/>
        <v>36</v>
      </c>
      <c r="R18" s="112">
        <f t="shared" si="9"/>
        <v>5.1308887462122286</v>
      </c>
      <c r="S18" s="112">
        <f t="shared" si="10"/>
        <v>3.0461402441627077</v>
      </c>
      <c r="T18" s="111">
        <f t="shared" si="7"/>
        <v>26</v>
      </c>
    </row>
    <row r="19" spans="1:21" customFormat="1" ht="14.5">
      <c r="A19" s="35">
        <v>15</v>
      </c>
      <c r="B19" s="107" t="s">
        <v>19</v>
      </c>
      <c r="C19" s="108">
        <v>13704</v>
      </c>
      <c r="D19" s="109">
        <v>11131.39555031678</v>
      </c>
      <c r="E19" s="109">
        <v>2</v>
      </c>
      <c r="F19" s="109">
        <v>99</v>
      </c>
      <c r="H19" s="110">
        <v>9.0073866199999983</v>
      </c>
      <c r="I19" s="110">
        <v>8.278359</v>
      </c>
      <c r="J19" s="111">
        <f>RANK(E19,E$5:E$83)</f>
        <v>55</v>
      </c>
      <c r="K19" s="111">
        <f t="shared" si="8"/>
        <v>55</v>
      </c>
      <c r="M19" s="112">
        <f t="shared" si="3"/>
        <v>8.8937635494574305</v>
      </c>
      <c r="N19" s="111">
        <f t="shared" si="4"/>
        <v>5</v>
      </c>
      <c r="O19" s="111">
        <f t="shared" si="0"/>
        <v>52</v>
      </c>
      <c r="P19" s="113">
        <f t="shared" si="1"/>
        <v>809.18754340228827</v>
      </c>
      <c r="Q19" s="111">
        <f t="shared" si="5"/>
        <v>10</v>
      </c>
      <c r="R19" s="112">
        <f t="shared" si="9"/>
        <v>8.806426732641075</v>
      </c>
      <c r="S19" s="112">
        <f t="shared" si="10"/>
        <v>6.6487922081977802</v>
      </c>
      <c r="T19" s="111">
        <f t="shared" si="7"/>
        <v>8</v>
      </c>
    </row>
    <row r="20" spans="1:21" customFormat="1" ht="14.5">
      <c r="A20" s="35">
        <v>16</v>
      </c>
      <c r="B20" s="107" t="s">
        <v>18</v>
      </c>
      <c r="C20" s="108">
        <v>22300</v>
      </c>
      <c r="D20" s="109">
        <v>17516.608449692452</v>
      </c>
      <c r="E20" s="109">
        <v>5</v>
      </c>
      <c r="F20" s="109">
        <v>110</v>
      </c>
      <c r="H20" s="110">
        <v>7.975644449999999</v>
      </c>
      <c r="I20" s="110">
        <v>7.7233667099999996</v>
      </c>
      <c r="J20" s="111">
        <f t="shared" si="8"/>
        <v>37</v>
      </c>
      <c r="K20" s="111">
        <f t="shared" si="8"/>
        <v>49</v>
      </c>
      <c r="M20" s="112">
        <f t="shared" si="3"/>
        <v>6.2797544579431026</v>
      </c>
      <c r="N20" s="111">
        <f t="shared" si="4"/>
        <v>23</v>
      </c>
      <c r="O20" s="111">
        <f t="shared" si="0"/>
        <v>53</v>
      </c>
      <c r="P20" s="113">
        <f t="shared" si="1"/>
        <v>455.31898899869691</v>
      </c>
      <c r="Q20" s="111">
        <f t="shared" si="5"/>
        <v>42</v>
      </c>
      <c r="R20" s="112">
        <f t="shared" si="9"/>
        <v>3.2664218788596067</v>
      </c>
      <c r="S20" s="112">
        <f t="shared" si="10"/>
        <v>1.2186458076074487</v>
      </c>
      <c r="T20" s="111">
        <f t="shared" si="7"/>
        <v>47</v>
      </c>
    </row>
    <row r="21" spans="1:21" customFormat="1" ht="14.5">
      <c r="A21" s="35">
        <v>17</v>
      </c>
      <c r="B21" s="107" t="s">
        <v>34</v>
      </c>
      <c r="C21" s="108">
        <v>15846</v>
      </c>
      <c r="D21" s="109">
        <v>12460.790443942813</v>
      </c>
      <c r="E21" s="109">
        <v>2</v>
      </c>
      <c r="F21" s="109">
        <v>57</v>
      </c>
      <c r="H21" s="110">
        <v>4.1520754100000001</v>
      </c>
      <c r="I21" s="110">
        <v>3.7854269999999999</v>
      </c>
      <c r="J21" s="111">
        <f t="shared" si="8"/>
        <v>55</v>
      </c>
      <c r="K21" s="111">
        <f>RANK(F21,F$5:F$83)</f>
        <v>62</v>
      </c>
      <c r="M21" s="112">
        <f t="shared" si="3"/>
        <v>4.5743486543991825</v>
      </c>
      <c r="N21" s="111">
        <f t="shared" si="4"/>
        <v>42</v>
      </c>
      <c r="O21" s="111">
        <f t="shared" si="0"/>
        <v>61</v>
      </c>
      <c r="P21" s="113">
        <f t="shared" si="1"/>
        <v>333.21123797714802</v>
      </c>
      <c r="Q21" s="111">
        <f t="shared" si="5"/>
        <v>51</v>
      </c>
      <c r="R21" s="112">
        <f t="shared" si="9"/>
        <v>9.6857873629580045</v>
      </c>
      <c r="S21" s="112">
        <f t="shared" si="10"/>
        <v>7.5107150923044461</v>
      </c>
      <c r="T21" s="111">
        <f t="shared" si="7"/>
        <v>7</v>
      </c>
    </row>
    <row r="22" spans="1:21" customFormat="1" ht="14.5">
      <c r="A22" s="35">
        <v>18</v>
      </c>
      <c r="B22" s="107" t="s">
        <v>35</v>
      </c>
      <c r="C22" s="108">
        <v>159963</v>
      </c>
      <c r="D22" s="109">
        <v>130937.38521225825</v>
      </c>
      <c r="E22" s="109">
        <v>12</v>
      </c>
      <c r="F22" s="109">
        <v>714</v>
      </c>
      <c r="H22" s="110">
        <v>83.375783499999997</v>
      </c>
      <c r="I22" s="110">
        <v>84.552235280000005</v>
      </c>
      <c r="J22" s="111">
        <f t="shared" si="8"/>
        <v>12</v>
      </c>
      <c r="K22" s="111">
        <f t="shared" si="8"/>
        <v>13</v>
      </c>
      <c r="M22" s="112">
        <f t="shared" si="3"/>
        <v>5.4529880739756509</v>
      </c>
      <c r="N22" s="111">
        <f t="shared" si="4"/>
        <v>36</v>
      </c>
      <c r="O22" s="111">
        <f t="shared" si="0"/>
        <v>14</v>
      </c>
      <c r="P22" s="113">
        <f t="shared" si="1"/>
        <v>636.76071860486809</v>
      </c>
      <c r="Q22" s="111">
        <f t="shared" si="5"/>
        <v>22</v>
      </c>
      <c r="R22" s="112">
        <f t="shared" si="9"/>
        <v>-1.3913905127453039</v>
      </c>
      <c r="S22" s="112">
        <f t="shared" si="10"/>
        <v>-3.3468020323225876</v>
      </c>
      <c r="T22" s="111">
        <f t="shared" si="7"/>
        <v>76</v>
      </c>
      <c r="U22" s="109"/>
    </row>
    <row r="23" spans="1:21" customFormat="1" ht="14.5">
      <c r="A23" s="35">
        <v>19</v>
      </c>
      <c r="B23" s="107" t="s">
        <v>36</v>
      </c>
      <c r="C23" s="108">
        <v>49422</v>
      </c>
      <c r="D23" s="109">
        <v>39961.886146525954</v>
      </c>
      <c r="E23" s="109">
        <v>10</v>
      </c>
      <c r="F23" s="109">
        <v>332</v>
      </c>
      <c r="H23" s="110">
        <v>31.670818319999999</v>
      </c>
      <c r="I23" s="110">
        <v>30.37735232</v>
      </c>
      <c r="J23" s="111">
        <f t="shared" si="8"/>
        <v>17</v>
      </c>
      <c r="K23" s="111">
        <f t="shared" si="8"/>
        <v>31</v>
      </c>
      <c r="M23" s="112">
        <f t="shared" si="3"/>
        <v>8.3079161674870559</v>
      </c>
      <c r="N23" s="111">
        <f t="shared" si="4"/>
        <v>11</v>
      </c>
      <c r="O23" s="111">
        <f t="shared" si="0"/>
        <v>31</v>
      </c>
      <c r="P23" s="113">
        <f t="shared" si="1"/>
        <v>792.52561312732905</v>
      </c>
      <c r="Q23" s="111">
        <f t="shared" si="5"/>
        <v>11</v>
      </c>
      <c r="R23" s="112">
        <f t="shared" si="9"/>
        <v>4.2579945295245487</v>
      </c>
      <c r="S23" s="112">
        <f t="shared" si="10"/>
        <v>2.190555544519813</v>
      </c>
      <c r="T23" s="111">
        <f t="shared" si="7"/>
        <v>30</v>
      </c>
    </row>
    <row r="24" spans="1:21" customFormat="1" ht="14.5">
      <c r="A24" s="35">
        <v>20</v>
      </c>
      <c r="B24" s="107" t="s">
        <v>37</v>
      </c>
      <c r="C24" s="108">
        <v>144615</v>
      </c>
      <c r="D24" s="109">
        <v>111053.01211264056</v>
      </c>
      <c r="E24" s="109">
        <v>9</v>
      </c>
      <c r="F24" s="109">
        <v>519</v>
      </c>
      <c r="H24" s="110">
        <v>68.240983010000008</v>
      </c>
      <c r="I24" s="110">
        <v>65.795232350000006</v>
      </c>
      <c r="J24" s="111">
        <f t="shared" si="8"/>
        <v>21</v>
      </c>
      <c r="K24" s="111">
        <f t="shared" si="8"/>
        <v>24</v>
      </c>
      <c r="M24" s="112">
        <f t="shared" si="3"/>
        <v>4.673443701586236</v>
      </c>
      <c r="N24" s="111">
        <f t="shared" si="4"/>
        <v>41</v>
      </c>
      <c r="O24" s="111">
        <f t="shared" si="0"/>
        <v>18</v>
      </c>
      <c r="P24" s="113">
        <f t="shared" si="1"/>
        <v>614.49015845498627</v>
      </c>
      <c r="Q24" s="111">
        <f t="shared" si="5"/>
        <v>28</v>
      </c>
      <c r="R24" s="112">
        <f t="shared" si="9"/>
        <v>3.7172156289223914</v>
      </c>
      <c r="S24" s="112">
        <f t="shared" si="10"/>
        <v>1.66050030483612</v>
      </c>
      <c r="T24" s="111">
        <f t="shared" si="7"/>
        <v>38</v>
      </c>
      <c r="U24" s="109"/>
    </row>
    <row r="25" spans="1:21" customFormat="1" ht="14.5">
      <c r="A25" s="35">
        <v>21</v>
      </c>
      <c r="B25" s="107" t="s">
        <v>38</v>
      </c>
      <c r="C25" s="108">
        <v>10404</v>
      </c>
      <c r="D25" s="109">
        <v>8339.5748176583493</v>
      </c>
      <c r="E25" s="109">
        <v>1</v>
      </c>
      <c r="F25" s="109">
        <v>45</v>
      </c>
      <c r="H25" s="110">
        <v>2.3726504199999998</v>
      </c>
      <c r="I25" s="110">
        <v>2.3097310000000002</v>
      </c>
      <c r="J25" s="111">
        <f t="shared" si="8"/>
        <v>64</v>
      </c>
      <c r="K25" s="111">
        <f t="shared" si="8"/>
        <v>64</v>
      </c>
      <c r="M25" s="112">
        <f t="shared" si="3"/>
        <v>5.3959585451186651</v>
      </c>
      <c r="N25" s="111">
        <f t="shared" si="4"/>
        <v>37</v>
      </c>
      <c r="O25" s="111">
        <f t="shared" si="0"/>
        <v>66</v>
      </c>
      <c r="P25" s="113">
        <f t="shared" si="1"/>
        <v>284.50496240840857</v>
      </c>
      <c r="Q25" s="111">
        <f t="shared" si="5"/>
        <v>56</v>
      </c>
      <c r="R25" s="112">
        <f t="shared" si="9"/>
        <v>2.724101637809754</v>
      </c>
      <c r="S25" s="112">
        <f t="shared" si="10"/>
        <v>0.68707979230078164</v>
      </c>
      <c r="T25" s="111">
        <f t="shared" si="7"/>
        <v>51</v>
      </c>
    </row>
    <row r="26" spans="1:21" customFormat="1" ht="14.5">
      <c r="A26" s="35">
        <v>22</v>
      </c>
      <c r="B26" s="107" t="s">
        <v>39</v>
      </c>
      <c r="C26" s="108">
        <v>161057</v>
      </c>
      <c r="D26" s="109">
        <v>126173.38282293081</v>
      </c>
      <c r="E26" s="109">
        <v>9</v>
      </c>
      <c r="F26" s="109">
        <v>652</v>
      </c>
      <c r="H26" s="110">
        <v>74.734879169999999</v>
      </c>
      <c r="I26" s="110">
        <v>71.755193090000006</v>
      </c>
      <c r="J26" s="111">
        <f>RANK(E26,E$5:E$83)</f>
        <v>21</v>
      </c>
      <c r="K26" s="111">
        <f>RANK(F26,F$5:F$83)</f>
        <v>15</v>
      </c>
      <c r="M26" s="112">
        <f>F26/D26*1000</f>
        <v>5.167492425205114</v>
      </c>
      <c r="N26" s="111">
        <f t="shared" si="4"/>
        <v>38</v>
      </c>
      <c r="O26" s="111">
        <f t="shared" si="0"/>
        <v>16</v>
      </c>
      <c r="P26" s="113">
        <f t="shared" si="1"/>
        <v>592.31889878772154</v>
      </c>
      <c r="Q26" s="111">
        <f t="shared" si="5"/>
        <v>29</v>
      </c>
      <c r="R26" s="112">
        <f t="shared" si="9"/>
        <v>4.1525720323303688</v>
      </c>
      <c r="S26" s="112">
        <f t="shared" si="10"/>
        <v>2.0872235784314874</v>
      </c>
      <c r="T26" s="111">
        <f t="shared" si="7"/>
        <v>32</v>
      </c>
    </row>
    <row r="27" spans="1:21" customFormat="1" ht="14.5">
      <c r="A27" s="35">
        <v>23</v>
      </c>
      <c r="B27" s="107" t="s">
        <v>40</v>
      </c>
      <c r="C27" s="108">
        <v>20007</v>
      </c>
      <c r="D27" s="109">
        <v>15963.631465388073</v>
      </c>
      <c r="E27" s="109">
        <v>4</v>
      </c>
      <c r="F27" s="109">
        <v>120</v>
      </c>
      <c r="H27" s="110">
        <v>9.2809881099999991</v>
      </c>
      <c r="I27" s="110">
        <v>8.3203279999999999</v>
      </c>
      <c r="J27" s="111">
        <f t="shared" si="8"/>
        <v>41</v>
      </c>
      <c r="K27" s="111">
        <f t="shared" si="8"/>
        <v>48</v>
      </c>
      <c r="M27" s="112">
        <f t="shared" si="3"/>
        <v>7.5170865889870271</v>
      </c>
      <c r="N27" s="111">
        <f>RANK(M27,M$5:M$83)</f>
        <v>12</v>
      </c>
      <c r="O27" s="111">
        <f t="shared" si="0"/>
        <v>51</v>
      </c>
      <c r="P27" s="113">
        <f t="shared" si="1"/>
        <v>581.38326045190877</v>
      </c>
      <c r="Q27" s="111">
        <f t="shared" si="5"/>
        <v>31</v>
      </c>
      <c r="R27" s="112">
        <f t="shared" si="9"/>
        <v>11.545940376388998</v>
      </c>
      <c r="S27" s="112">
        <f t="shared" si="10"/>
        <v>9.3339812187835474</v>
      </c>
      <c r="T27" s="111">
        <f t="shared" si="7"/>
        <v>5</v>
      </c>
      <c r="U27" s="109"/>
    </row>
    <row r="28" spans="1:21" customFormat="1" ht="14.5">
      <c r="A28" s="35">
        <v>24</v>
      </c>
      <c r="B28" s="107" t="s">
        <v>41</v>
      </c>
      <c r="C28" s="108">
        <v>26337</v>
      </c>
      <c r="D28" s="109">
        <v>19108.759446897515</v>
      </c>
      <c r="E28" s="109">
        <v>0</v>
      </c>
      <c r="F28" s="109">
        <v>0</v>
      </c>
      <c r="H28" s="110">
        <v>0</v>
      </c>
      <c r="I28" s="110">
        <v>0</v>
      </c>
      <c r="J28" s="111">
        <f t="shared" si="8"/>
        <v>71</v>
      </c>
      <c r="K28" s="111">
        <f t="shared" si="8"/>
        <v>71</v>
      </c>
      <c r="M28" s="112">
        <f t="shared" si="3"/>
        <v>0</v>
      </c>
      <c r="N28" s="111">
        <f t="shared" si="4"/>
        <v>71</v>
      </c>
      <c r="O28" s="111">
        <f t="shared" si="0"/>
        <v>71</v>
      </c>
      <c r="P28" s="113">
        <f t="shared" si="1"/>
        <v>0</v>
      </c>
      <c r="Q28" s="111">
        <f t="shared" si="5"/>
        <v>71</v>
      </c>
      <c r="R28" s="112"/>
      <c r="S28" s="112">
        <v>0</v>
      </c>
      <c r="T28" s="111">
        <f t="shared" si="7"/>
        <v>55</v>
      </c>
    </row>
    <row r="29" spans="1:21" customFormat="1" ht="14.5">
      <c r="A29" s="35">
        <v>25</v>
      </c>
      <c r="B29" s="107" t="s">
        <v>42</v>
      </c>
      <c r="C29" s="108">
        <v>125805</v>
      </c>
      <c r="D29" s="109">
        <v>96228.758564594842</v>
      </c>
      <c r="E29" s="109">
        <v>11</v>
      </c>
      <c r="F29" s="109">
        <v>652</v>
      </c>
      <c r="H29" s="110">
        <v>61.223381230000001</v>
      </c>
      <c r="I29" s="110">
        <v>58.66880226</v>
      </c>
      <c r="J29" s="111">
        <f t="shared" si="8"/>
        <v>14</v>
      </c>
      <c r="K29" s="111">
        <f t="shared" si="8"/>
        <v>15</v>
      </c>
      <c r="M29" s="112">
        <f t="shared" si="3"/>
        <v>6.7755212654264501</v>
      </c>
      <c r="N29" s="111">
        <f t="shared" si="4"/>
        <v>20</v>
      </c>
      <c r="O29" s="111">
        <f t="shared" si="0"/>
        <v>23</v>
      </c>
      <c r="P29" s="113">
        <f t="shared" si="1"/>
        <v>636.22748690977846</v>
      </c>
      <c r="Q29" s="111">
        <f t="shared" si="5"/>
        <v>23</v>
      </c>
      <c r="R29" s="112">
        <f>(H29-I29)/I29*100</f>
        <v>4.3542374679458842</v>
      </c>
      <c r="S29" s="112">
        <f>IF((I29*H$3/I$3)&gt;0,(H29-(I29*H$3/I$3))/(I29*H$3/I$3)*100,"")</f>
        <v>2.2848899827458324</v>
      </c>
      <c r="T29" s="111">
        <f t="shared" si="7"/>
        <v>29</v>
      </c>
    </row>
    <row r="30" spans="1:21" customFormat="1" ht="14.5">
      <c r="A30" s="35">
        <v>26</v>
      </c>
      <c r="B30" s="107" t="s">
        <v>43</v>
      </c>
      <c r="C30" s="108">
        <v>167298</v>
      </c>
      <c r="D30" s="109">
        <v>131134.53616293834</v>
      </c>
      <c r="E30" s="109">
        <v>14</v>
      </c>
      <c r="F30" s="109">
        <v>928</v>
      </c>
      <c r="H30" s="110">
        <v>141.17536156</v>
      </c>
      <c r="I30" s="110">
        <v>137.92317052999999</v>
      </c>
      <c r="J30" s="111">
        <f t="shared" si="8"/>
        <v>6</v>
      </c>
      <c r="K30" s="111">
        <f t="shared" si="8"/>
        <v>5</v>
      </c>
      <c r="M30" s="112">
        <f t="shared" si="3"/>
        <v>7.0767017381823347</v>
      </c>
      <c r="N30" s="111">
        <f t="shared" si="4"/>
        <v>16</v>
      </c>
      <c r="O30" s="111">
        <f t="shared" si="0"/>
        <v>5</v>
      </c>
      <c r="P30" s="113">
        <f t="shared" si="1"/>
        <v>1076.5688863579437</v>
      </c>
      <c r="Q30" s="111">
        <f t="shared" si="5"/>
        <v>2</v>
      </c>
      <c r="R30" s="112">
        <f>(H30-I30)/I30*100</f>
        <v>2.357972933411224</v>
      </c>
      <c r="S30" s="112">
        <f>IF((I30*H$3/I$3)&gt;0,(H30-(I30*H$3/I$3))/(I30*H$3/I$3)*100,"")</f>
        <v>0.32821143048239565</v>
      </c>
      <c r="T30" s="111">
        <f t="shared" si="7"/>
        <v>54</v>
      </c>
    </row>
    <row r="31" spans="1:21" customFormat="1" ht="14.5">
      <c r="A31" s="35">
        <v>27</v>
      </c>
      <c r="B31" s="107" t="s">
        <v>44</v>
      </c>
      <c r="C31" s="108">
        <v>289565</v>
      </c>
      <c r="D31" s="109">
        <v>225023.13839022096</v>
      </c>
      <c r="E31" s="109">
        <v>25</v>
      </c>
      <c r="F31" s="109">
        <v>1345</v>
      </c>
      <c r="H31" s="110">
        <v>140.52821670000003</v>
      </c>
      <c r="I31" s="110">
        <v>134.81104300000001</v>
      </c>
      <c r="J31" s="111">
        <f t="shared" si="8"/>
        <v>1</v>
      </c>
      <c r="K31" s="111">
        <f t="shared" si="8"/>
        <v>1</v>
      </c>
      <c r="M31" s="112">
        <f t="shared" si="3"/>
        <v>5.9771631025231979</v>
      </c>
      <c r="N31" s="111">
        <f t="shared" si="4"/>
        <v>29</v>
      </c>
      <c r="O31" s="111">
        <f t="shared" si="0"/>
        <v>6</v>
      </c>
      <c r="P31" s="113">
        <f t="shared" si="1"/>
        <v>624.50562953354972</v>
      </c>
      <c r="Q31" s="111">
        <f t="shared" si="5"/>
        <v>24</v>
      </c>
      <c r="R31" s="112">
        <f>(H31-I31)/I31*100</f>
        <v>4.2408793617893883</v>
      </c>
      <c r="S31" s="112">
        <f>IF((I31*H$3/I$3)&gt;0,(H31-(I31*H$3/I$3))/(I31*H$3/I$3)*100,"")</f>
        <v>2.173779771045703</v>
      </c>
      <c r="T31" s="111">
        <f t="shared" si="7"/>
        <v>31</v>
      </c>
    </row>
    <row r="32" spans="1:21" customFormat="1" ht="14.5">
      <c r="A32" s="35">
        <v>28</v>
      </c>
      <c r="B32" s="107" t="s">
        <v>45</v>
      </c>
      <c r="C32" s="108">
        <v>69874</v>
      </c>
      <c r="D32" s="109">
        <v>52854.599759890072</v>
      </c>
      <c r="E32" s="109">
        <v>8</v>
      </c>
      <c r="F32" s="109">
        <v>329</v>
      </c>
      <c r="H32" s="110">
        <v>44.34232354000001</v>
      </c>
      <c r="I32" s="110">
        <v>43.126080100000003</v>
      </c>
      <c r="J32" s="111">
        <f t="shared" si="8"/>
        <v>27</v>
      </c>
      <c r="K32" s="111">
        <f t="shared" si="8"/>
        <v>32</v>
      </c>
      <c r="M32" s="112">
        <f t="shared" si="3"/>
        <v>6.2246238074754885</v>
      </c>
      <c r="N32" s="111">
        <f t="shared" si="4"/>
        <v>24</v>
      </c>
      <c r="O32" s="111">
        <f t="shared" si="0"/>
        <v>28</v>
      </c>
      <c r="P32" s="113">
        <f t="shared" si="1"/>
        <v>838.94918779898126</v>
      </c>
      <c r="Q32" s="111">
        <f t="shared" si="5"/>
        <v>7</v>
      </c>
      <c r="R32" s="112">
        <f>(H32-I32)/I32*100</f>
        <v>2.8202040092208764</v>
      </c>
      <c r="S32" s="112">
        <f>IF((I32*H$3/I$3)&gt;0,(H32-(I32*H$3/I$3))/(I32*H$3/I$3)*100,"")</f>
        <v>0.78127645096438447</v>
      </c>
      <c r="T32" s="111">
        <f t="shared" si="7"/>
        <v>50</v>
      </c>
    </row>
    <row r="33" spans="1:21" customFormat="1" ht="14.5">
      <c r="A33" s="35">
        <v>29</v>
      </c>
      <c r="B33" s="107" t="s">
        <v>46</v>
      </c>
      <c r="C33" s="108">
        <v>16824</v>
      </c>
      <c r="D33" s="109">
        <v>13829.994097180563</v>
      </c>
      <c r="E33" s="109">
        <v>2</v>
      </c>
      <c r="F33" s="109">
        <v>57</v>
      </c>
      <c r="H33" s="110">
        <v>3.4186955299999999</v>
      </c>
      <c r="I33" s="110">
        <v>3.4916450000000001</v>
      </c>
      <c r="J33" s="111">
        <f t="shared" si="8"/>
        <v>55</v>
      </c>
      <c r="K33" s="111">
        <f t="shared" si="8"/>
        <v>62</v>
      </c>
      <c r="M33" s="112">
        <f t="shared" si="3"/>
        <v>4.1214768133285204</v>
      </c>
      <c r="N33" s="111">
        <f t="shared" si="4"/>
        <v>52</v>
      </c>
      <c r="O33" s="111">
        <f t="shared" si="0"/>
        <v>62</v>
      </c>
      <c r="P33" s="113">
        <f t="shared" si="1"/>
        <v>247.19428699517297</v>
      </c>
      <c r="Q33" s="111">
        <f t="shared" si="5"/>
        <v>60</v>
      </c>
      <c r="R33" s="112">
        <f>(H33-I33)/I33*100</f>
        <v>-2.0892579285694901</v>
      </c>
      <c r="S33" s="112">
        <f>IF((I33*H$3/I$3)&gt;0,(H33-(I33*H$3/I$3))/(I33*H$3/I$3)*100,"")</f>
        <v>-4.0308307175213587</v>
      </c>
      <c r="T33" s="111">
        <f t="shared" si="7"/>
        <v>77</v>
      </c>
    </row>
    <row r="34" spans="1:21" customFormat="1" ht="14.5">
      <c r="A34" s="35">
        <v>30</v>
      </c>
      <c r="B34" s="107" t="s">
        <v>47</v>
      </c>
      <c r="C34" s="108">
        <v>5464</v>
      </c>
      <c r="D34" s="109">
        <v>4401.6702284583553</v>
      </c>
      <c r="E34" s="109">
        <v>0</v>
      </c>
      <c r="F34" s="109">
        <v>0</v>
      </c>
      <c r="H34" s="110">
        <v>0</v>
      </c>
      <c r="I34" s="110">
        <v>0</v>
      </c>
      <c r="J34" s="111">
        <f t="shared" si="8"/>
        <v>71</v>
      </c>
      <c r="K34" s="111">
        <f t="shared" si="8"/>
        <v>71</v>
      </c>
      <c r="M34" s="112">
        <f t="shared" si="3"/>
        <v>0</v>
      </c>
      <c r="N34" s="111">
        <f t="shared" si="4"/>
        <v>71</v>
      </c>
      <c r="O34" s="111">
        <f t="shared" si="0"/>
        <v>71</v>
      </c>
      <c r="P34" s="113">
        <f t="shared" si="1"/>
        <v>0</v>
      </c>
      <c r="Q34" s="111">
        <f t="shared" si="5"/>
        <v>71</v>
      </c>
      <c r="R34" s="112"/>
      <c r="S34" s="112">
        <v>0</v>
      </c>
      <c r="T34" s="111">
        <f t="shared" si="7"/>
        <v>55</v>
      </c>
    </row>
    <row r="35" spans="1:21" customFormat="1" ht="14.5">
      <c r="A35" s="35">
        <v>31</v>
      </c>
      <c r="B35" s="107" t="s">
        <v>48</v>
      </c>
      <c r="C35" s="108">
        <v>95633</v>
      </c>
      <c r="D35" s="109">
        <v>74190.101773026952</v>
      </c>
      <c r="E35" s="109">
        <v>9</v>
      </c>
      <c r="F35" s="109">
        <v>535</v>
      </c>
      <c r="H35" s="110">
        <v>50.208970970000003</v>
      </c>
      <c r="I35" s="110">
        <v>46.936040490000003</v>
      </c>
      <c r="J35" s="111">
        <f t="shared" si="8"/>
        <v>21</v>
      </c>
      <c r="K35" s="111">
        <f t="shared" si="8"/>
        <v>21</v>
      </c>
      <c r="M35" s="112">
        <f t="shared" si="3"/>
        <v>7.2112045571355203</v>
      </c>
      <c r="N35" s="111">
        <f t="shared" si="4"/>
        <v>14</v>
      </c>
      <c r="O35" s="111">
        <f t="shared" si="0"/>
        <v>26</v>
      </c>
      <c r="P35" s="113">
        <f t="shared" si="1"/>
        <v>676.76104722981131</v>
      </c>
      <c r="Q35" s="111">
        <f t="shared" si="5"/>
        <v>20</v>
      </c>
      <c r="R35" s="112">
        <f>(H35-I35)/I35*100</f>
        <v>6.9731712471513578</v>
      </c>
      <c r="S35" s="112">
        <f>IF((I35*H$3/I$3)&gt;0,(H35-(I35*H$3/I$3))/(I35*H$3/I$3)*100,"")</f>
        <v>4.8518902309189187</v>
      </c>
      <c r="T35" s="111">
        <f t="shared" si="7"/>
        <v>16</v>
      </c>
      <c r="U35" s="109"/>
    </row>
    <row r="36" spans="1:21" customFormat="1" ht="14.5">
      <c r="A36" s="35">
        <v>32</v>
      </c>
      <c r="B36" s="107" t="s">
        <v>49</v>
      </c>
      <c r="C36" s="108">
        <v>20376</v>
      </c>
      <c r="D36" s="109">
        <v>15658.677666748707</v>
      </c>
      <c r="E36" s="109">
        <v>3</v>
      </c>
      <c r="F36" s="109">
        <v>153</v>
      </c>
      <c r="H36" s="110">
        <v>13.207171890000001</v>
      </c>
      <c r="I36" s="110">
        <v>11.641002589999999</v>
      </c>
      <c r="J36" s="111">
        <f t="shared" si="8"/>
        <v>48</v>
      </c>
      <c r="K36" s="111">
        <f t="shared" si="8"/>
        <v>45</v>
      </c>
      <c r="M36" s="112">
        <f t="shared" si="3"/>
        <v>9.7709400024815878</v>
      </c>
      <c r="N36" s="111">
        <f t="shared" si="4"/>
        <v>3</v>
      </c>
      <c r="O36" s="111">
        <f t="shared" si="0"/>
        <v>42</v>
      </c>
      <c r="P36" s="113">
        <f t="shared" si="1"/>
        <v>843.441072808179</v>
      </c>
      <c r="Q36" s="111">
        <f t="shared" si="5"/>
        <v>6</v>
      </c>
      <c r="R36" s="112">
        <f>(H36-I36)/I36*100</f>
        <v>13.45390388750014</v>
      </c>
      <c r="S36" s="112">
        <f>IF((I36*H$3/I$3)&gt;0,(H36-(I36*H$3/I$3))/(I36*H$3/I$3)*100,"")</f>
        <v>11.204109759419415</v>
      </c>
      <c r="T36" s="111">
        <f t="shared" si="7"/>
        <v>4</v>
      </c>
    </row>
    <row r="37" spans="1:21" customFormat="1" ht="14.5">
      <c r="A37" s="35">
        <v>33</v>
      </c>
      <c r="B37" s="107" t="s">
        <v>50</v>
      </c>
      <c r="C37" s="108">
        <v>271709</v>
      </c>
      <c r="D37" s="109">
        <v>196655.13285305447</v>
      </c>
      <c r="E37" s="109">
        <v>14</v>
      </c>
      <c r="F37" s="109">
        <v>833</v>
      </c>
      <c r="H37" s="110">
        <v>147.90996355000001</v>
      </c>
      <c r="I37" s="110">
        <v>138.01629480000003</v>
      </c>
      <c r="J37" s="111">
        <f t="shared" si="8"/>
        <v>6</v>
      </c>
      <c r="K37" s="111">
        <f t="shared" si="8"/>
        <v>8</v>
      </c>
      <c r="M37" s="112">
        <f t="shared" si="3"/>
        <v>4.2358416376674901</v>
      </c>
      <c r="N37" s="111">
        <f t="shared" si="4"/>
        <v>48</v>
      </c>
      <c r="O37" s="111">
        <f t="shared" ref="O37:O68" si="11">RANK(H37,H$5:H$83)</f>
        <v>3</v>
      </c>
      <c r="P37" s="113">
        <f t="shared" ref="P37:P68" si="12">H37/D37*1000000</f>
        <v>752.12867014522294</v>
      </c>
      <c r="Q37" s="111">
        <f t="shared" si="5"/>
        <v>14</v>
      </c>
      <c r="R37" s="112">
        <f>(H37-I37)/I37*100</f>
        <v>7.1684787396567513</v>
      </c>
      <c r="S37" s="112">
        <f>IF((I37*H$3/I$3)&gt;0,(H37-(I37*H$3/I$3))/(I37*H$3/I$3)*100,"")</f>
        <v>5.0433247703151274</v>
      </c>
      <c r="T37" s="111">
        <f t="shared" ref="T37:T68" si="13">RANK($S37,$S$5:$S$83)</f>
        <v>14</v>
      </c>
      <c r="U37" s="109"/>
    </row>
    <row r="38" spans="1:21" customFormat="1" ht="14.5">
      <c r="A38" s="35">
        <v>34</v>
      </c>
      <c r="B38" s="107" t="s">
        <v>51</v>
      </c>
      <c r="C38" s="108">
        <v>17788</v>
      </c>
      <c r="D38" s="109">
        <v>13772.556901823124</v>
      </c>
      <c r="E38" s="109">
        <v>0</v>
      </c>
      <c r="F38" s="109">
        <v>0</v>
      </c>
      <c r="H38" s="110">
        <v>0</v>
      </c>
      <c r="I38" s="110">
        <v>0</v>
      </c>
      <c r="J38" s="111">
        <f t="shared" si="8"/>
        <v>71</v>
      </c>
      <c r="K38" s="111">
        <f t="shared" si="8"/>
        <v>71</v>
      </c>
      <c r="M38" s="112">
        <f t="shared" si="3"/>
        <v>0</v>
      </c>
      <c r="N38" s="111">
        <f t="shared" si="4"/>
        <v>71</v>
      </c>
      <c r="O38" s="111">
        <f t="shared" si="11"/>
        <v>71</v>
      </c>
      <c r="P38" s="113">
        <f t="shared" si="12"/>
        <v>0</v>
      </c>
      <c r="Q38" s="111">
        <f t="shared" si="5"/>
        <v>71</v>
      </c>
      <c r="R38" s="112"/>
      <c r="S38" s="112">
        <v>0</v>
      </c>
      <c r="T38" s="111">
        <f t="shared" si="13"/>
        <v>55</v>
      </c>
    </row>
    <row r="39" spans="1:21" customFormat="1" ht="14.5">
      <c r="A39" s="35">
        <v>35</v>
      </c>
      <c r="B39" s="107" t="s">
        <v>52</v>
      </c>
      <c r="C39" s="108">
        <v>166521</v>
      </c>
      <c r="D39" s="109">
        <v>130521.32496762846</v>
      </c>
      <c r="E39" s="109">
        <v>16</v>
      </c>
      <c r="F39" s="109">
        <v>898</v>
      </c>
      <c r="H39" s="110">
        <v>89.378925429999995</v>
      </c>
      <c r="I39" s="110">
        <v>86.299825290000001</v>
      </c>
      <c r="J39" s="111">
        <f t="shared" si="8"/>
        <v>2</v>
      </c>
      <c r="K39" s="111">
        <f t="shared" si="8"/>
        <v>7</v>
      </c>
      <c r="M39" s="112">
        <f t="shared" si="3"/>
        <v>6.8801017781785427</v>
      </c>
      <c r="N39" s="111">
        <f t="shared" si="4"/>
        <v>19</v>
      </c>
      <c r="O39" s="111">
        <f t="shared" si="11"/>
        <v>11</v>
      </c>
      <c r="P39" s="113">
        <f t="shared" si="12"/>
        <v>684.78407993611393</v>
      </c>
      <c r="Q39" s="111">
        <f t="shared" si="5"/>
        <v>19</v>
      </c>
      <c r="R39" s="112">
        <f>(H39-I39)/I39*100</f>
        <v>3.5679100504005135</v>
      </c>
      <c r="S39" s="112">
        <f>IF((I39*H$3/I$3)&gt;0,(H39-(I39*H$3/I$3))/(I39*H$3/I$3)*100,"")</f>
        <v>1.5141554601659433</v>
      </c>
      <c r="T39" s="111">
        <f t="shared" si="13"/>
        <v>39</v>
      </c>
      <c r="U39" s="109"/>
    </row>
    <row r="40" spans="1:21" customFormat="1" ht="14.5">
      <c r="A40" s="35">
        <v>36</v>
      </c>
      <c r="B40" s="107" t="s">
        <v>53</v>
      </c>
      <c r="C40" s="108">
        <v>163302</v>
      </c>
      <c r="D40" s="109">
        <v>127945.23832943883</v>
      </c>
      <c r="E40" s="109">
        <v>11</v>
      </c>
      <c r="F40" s="109">
        <v>771</v>
      </c>
      <c r="H40" s="110">
        <v>79.237592809999995</v>
      </c>
      <c r="I40" s="110">
        <v>76.623268159999995</v>
      </c>
      <c r="J40" s="111">
        <f t="shared" si="8"/>
        <v>14</v>
      </c>
      <c r="K40" s="111">
        <f t="shared" si="8"/>
        <v>9</v>
      </c>
      <c r="M40" s="112">
        <f t="shared" si="3"/>
        <v>6.0260155834388813</v>
      </c>
      <c r="N40" s="111">
        <f t="shared" si="4"/>
        <v>28</v>
      </c>
      <c r="O40" s="111">
        <f t="shared" si="11"/>
        <v>15</v>
      </c>
      <c r="P40" s="113">
        <f t="shared" si="12"/>
        <v>619.3086498926649</v>
      </c>
      <c r="Q40" s="111">
        <f t="shared" si="5"/>
        <v>26</v>
      </c>
      <c r="R40" s="112">
        <f>(H40-I40)/I40*100</f>
        <v>3.41192005089228</v>
      </c>
      <c r="S40" s="112">
        <f>IF((I40*H$3/I$3)&gt;0,(H40-(I40*H$3/I$3))/(I40*H$3/I$3)*100,"")</f>
        <v>1.3612587467669544</v>
      </c>
      <c r="T40" s="111">
        <f t="shared" si="13"/>
        <v>44</v>
      </c>
      <c r="U40" s="109"/>
    </row>
    <row r="41" spans="1:21" customFormat="1" ht="14.5">
      <c r="A41" s="35">
        <v>37</v>
      </c>
      <c r="B41" s="107" t="s">
        <v>54</v>
      </c>
      <c r="C41" s="108">
        <v>78845</v>
      </c>
      <c r="D41" s="109">
        <v>61041.368426440109</v>
      </c>
      <c r="E41" s="109">
        <v>13</v>
      </c>
      <c r="F41" s="109">
        <v>522</v>
      </c>
      <c r="H41" s="110">
        <v>50.142644170000004</v>
      </c>
      <c r="I41" s="110">
        <v>49.584137640000002</v>
      </c>
      <c r="J41" s="111">
        <f t="shared" si="8"/>
        <v>10</v>
      </c>
      <c r="K41" s="111">
        <f t="shared" si="8"/>
        <v>23</v>
      </c>
      <c r="M41" s="112">
        <f t="shared" si="3"/>
        <v>8.5515776178748855</v>
      </c>
      <c r="N41" s="111">
        <f t="shared" si="4"/>
        <v>8</v>
      </c>
      <c r="O41" s="111">
        <f t="shared" si="11"/>
        <v>27</v>
      </c>
      <c r="P41" s="113">
        <f t="shared" si="12"/>
        <v>821.45347430121967</v>
      </c>
      <c r="Q41" s="111">
        <f t="shared" si="5"/>
        <v>9</v>
      </c>
      <c r="R41" s="112">
        <f>(H41-I41)/I41*100</f>
        <v>1.1263814529859846</v>
      </c>
      <c r="S41" s="112">
        <f>IF((I41*H$3/I$3)&gt;0,(H41-(I41*H$3/I$3))/(I41*H$3/I$3)*100,"")</f>
        <v>-0.87895755599673475</v>
      </c>
      <c r="T41" s="111">
        <f t="shared" si="13"/>
        <v>67</v>
      </c>
    </row>
    <row r="42" spans="1:21" customFormat="1" ht="14.5">
      <c r="A42" s="35">
        <v>38</v>
      </c>
      <c r="B42" s="107" t="s">
        <v>55</v>
      </c>
      <c r="C42" s="108">
        <v>7755</v>
      </c>
      <c r="D42" s="109">
        <v>6247.6450238802117</v>
      </c>
      <c r="E42" s="109">
        <v>0</v>
      </c>
      <c r="F42" s="109">
        <v>0</v>
      </c>
      <c r="H42" s="110">
        <v>0</v>
      </c>
      <c r="I42" s="110">
        <v>0</v>
      </c>
      <c r="J42" s="111">
        <f t="shared" si="8"/>
        <v>71</v>
      </c>
      <c r="K42" s="111">
        <f t="shared" si="8"/>
        <v>71</v>
      </c>
      <c r="M42" s="112">
        <f t="shared" si="3"/>
        <v>0</v>
      </c>
      <c r="N42" s="111">
        <f t="shared" si="4"/>
        <v>71</v>
      </c>
      <c r="O42" s="111">
        <f t="shared" si="11"/>
        <v>71</v>
      </c>
      <c r="P42" s="113">
        <f t="shared" si="12"/>
        <v>0</v>
      </c>
      <c r="Q42" s="111">
        <f t="shared" si="5"/>
        <v>71</v>
      </c>
      <c r="R42" s="112"/>
      <c r="S42" s="112">
        <v>0</v>
      </c>
      <c r="T42" s="111">
        <f t="shared" si="13"/>
        <v>55</v>
      </c>
    </row>
    <row r="43" spans="1:21" customFormat="1" ht="14.5">
      <c r="A43" s="35">
        <v>39</v>
      </c>
      <c r="B43" s="107" t="s">
        <v>56</v>
      </c>
      <c r="C43" s="108">
        <v>53738</v>
      </c>
      <c r="D43" s="109">
        <v>40128.63825396826</v>
      </c>
      <c r="E43" s="109">
        <v>3</v>
      </c>
      <c r="F43" s="109">
        <v>103</v>
      </c>
      <c r="H43" s="110">
        <v>9.7449621200000003</v>
      </c>
      <c r="I43" s="110">
        <v>9.6958832799999985</v>
      </c>
      <c r="J43" s="111">
        <f t="shared" si="8"/>
        <v>48</v>
      </c>
      <c r="K43" s="111">
        <f t="shared" si="8"/>
        <v>53</v>
      </c>
      <c r="M43" s="112">
        <f t="shared" si="3"/>
        <v>2.5667454586454723</v>
      </c>
      <c r="N43" s="111">
        <f t="shared" si="4"/>
        <v>63</v>
      </c>
      <c r="O43" s="111">
        <f t="shared" si="11"/>
        <v>50</v>
      </c>
      <c r="P43" s="113">
        <f t="shared" si="12"/>
        <v>242.84308025419568</v>
      </c>
      <c r="Q43" s="111">
        <f t="shared" si="5"/>
        <v>61</v>
      </c>
      <c r="R43" s="112">
        <f t="shared" ref="R43:R58" si="14">(H43-I43)/I43*100</f>
        <v>0.50618224851404914</v>
      </c>
      <c r="S43" s="112">
        <f t="shared" ref="S43:S58" si="15">IF((I43*H$3/I$3)&gt;0,(H43-(I43*H$3/I$3))/(I43*H$3/I$3)*100,"")</f>
        <v>-1.4868581926745976</v>
      </c>
      <c r="T43" s="111">
        <f t="shared" si="13"/>
        <v>71</v>
      </c>
    </row>
    <row r="44" spans="1:21" customFormat="1" ht="14.5">
      <c r="A44" s="35">
        <v>40</v>
      </c>
      <c r="B44" s="107" t="s">
        <v>57</v>
      </c>
      <c r="C44" s="108">
        <v>131761</v>
      </c>
      <c r="D44" s="109">
        <v>103967.41926278241</v>
      </c>
      <c r="E44" s="109">
        <v>6</v>
      </c>
      <c r="F44" s="109">
        <v>462</v>
      </c>
      <c r="H44" s="110">
        <v>59.126804770000014</v>
      </c>
      <c r="I44" s="110">
        <v>58.047020799999999</v>
      </c>
      <c r="J44" s="111">
        <f t="shared" si="8"/>
        <v>34</v>
      </c>
      <c r="K44" s="111">
        <f t="shared" si="8"/>
        <v>26</v>
      </c>
      <c r="M44" s="112">
        <f t="shared" si="3"/>
        <v>4.4436997982249977</v>
      </c>
      <c r="N44" s="111">
        <f t="shared" si="4"/>
        <v>44</v>
      </c>
      <c r="O44" s="111">
        <f t="shared" si="11"/>
        <v>24</v>
      </c>
      <c r="P44" s="113">
        <f t="shared" si="12"/>
        <v>568.70513079250634</v>
      </c>
      <c r="Q44" s="111">
        <f t="shared" si="5"/>
        <v>35</v>
      </c>
      <c r="R44" s="112">
        <f t="shared" si="14"/>
        <v>1.8601884388182337</v>
      </c>
      <c r="S44" s="112">
        <f t="shared" si="15"/>
        <v>-0.15970198348127504</v>
      </c>
      <c r="T44" s="111">
        <f t="shared" si="13"/>
        <v>65</v>
      </c>
      <c r="U44" s="109"/>
    </row>
    <row r="45" spans="1:21" customFormat="1" ht="14.5">
      <c r="A45" s="35">
        <v>41</v>
      </c>
      <c r="B45" s="107" t="s">
        <v>58</v>
      </c>
      <c r="C45" s="108">
        <v>10782</v>
      </c>
      <c r="D45" s="109">
        <v>8379.411340792718</v>
      </c>
      <c r="E45" s="109">
        <v>1</v>
      </c>
      <c r="F45" s="109">
        <v>40</v>
      </c>
      <c r="H45" s="110">
        <v>1.9121510499999999</v>
      </c>
      <c r="I45" s="110">
        <v>1.6528290000000001</v>
      </c>
      <c r="J45" s="111">
        <f t="shared" si="8"/>
        <v>64</v>
      </c>
      <c r="K45" s="111">
        <f t="shared" si="8"/>
        <v>65</v>
      </c>
      <c r="M45" s="112">
        <f t="shared" si="3"/>
        <v>4.7736050151007241</v>
      </c>
      <c r="N45" s="111">
        <f t="shared" si="4"/>
        <v>40</v>
      </c>
      <c r="O45" s="111">
        <f t="shared" si="11"/>
        <v>67</v>
      </c>
      <c r="P45" s="113">
        <f t="shared" si="12"/>
        <v>228.19634604775285</v>
      </c>
      <c r="Q45" s="111">
        <f t="shared" si="5"/>
        <v>62</v>
      </c>
      <c r="R45" s="112">
        <f t="shared" si="14"/>
        <v>15.689587368082222</v>
      </c>
      <c r="S45" s="112">
        <f t="shared" si="15"/>
        <v>13.395459573247742</v>
      </c>
      <c r="T45" s="111">
        <f t="shared" si="13"/>
        <v>2</v>
      </c>
    </row>
    <row r="46" spans="1:21" customFormat="1" ht="14.5">
      <c r="A46" s="35">
        <v>42</v>
      </c>
      <c r="B46" s="107" t="s">
        <v>59</v>
      </c>
      <c r="C46" s="108">
        <v>94251</v>
      </c>
      <c r="D46" s="109">
        <v>77084.873359342644</v>
      </c>
      <c r="E46" s="109">
        <v>9</v>
      </c>
      <c r="F46" s="109">
        <v>471</v>
      </c>
      <c r="H46" s="110">
        <v>68.43299353999997</v>
      </c>
      <c r="I46" s="110">
        <v>66.253194450000009</v>
      </c>
      <c r="J46" s="111">
        <f t="shared" si="8"/>
        <v>21</v>
      </c>
      <c r="K46" s="111">
        <f t="shared" si="8"/>
        <v>25</v>
      </c>
      <c r="M46" s="112">
        <f t="shared" si="3"/>
        <v>6.1101481973559606</v>
      </c>
      <c r="N46" s="111">
        <f t="shared" si="4"/>
        <v>27</v>
      </c>
      <c r="O46" s="111">
        <f t="shared" si="11"/>
        <v>17</v>
      </c>
      <c r="P46" s="113">
        <f t="shared" si="12"/>
        <v>887.76163931656674</v>
      </c>
      <c r="Q46" s="111">
        <f t="shared" si="5"/>
        <v>4</v>
      </c>
      <c r="R46" s="112">
        <f t="shared" si="14"/>
        <v>3.2901041347447966</v>
      </c>
      <c r="S46" s="112">
        <f t="shared" si="15"/>
        <v>1.2418584436875637</v>
      </c>
      <c r="T46" s="111">
        <f t="shared" si="13"/>
        <v>46</v>
      </c>
      <c r="U46" s="109"/>
    </row>
    <row r="47" spans="1:21" customFormat="1" ht="14.5">
      <c r="A47" s="35">
        <v>43</v>
      </c>
      <c r="B47" s="107" t="s">
        <v>60</v>
      </c>
      <c r="C47" s="108">
        <v>119354</v>
      </c>
      <c r="D47" s="109">
        <v>92332.516211659313</v>
      </c>
      <c r="E47" s="109">
        <v>8</v>
      </c>
      <c r="F47" s="109">
        <v>640</v>
      </c>
      <c r="H47" s="110">
        <v>64.200755529999995</v>
      </c>
      <c r="I47" s="110">
        <v>63.9686424</v>
      </c>
      <c r="J47" s="111">
        <f t="shared" si="8"/>
        <v>27</v>
      </c>
      <c r="K47" s="111">
        <f t="shared" si="8"/>
        <v>18</v>
      </c>
      <c r="M47" s="112">
        <f t="shared" si="3"/>
        <v>6.9314692836149945</v>
      </c>
      <c r="N47" s="111">
        <f t="shared" si="4"/>
        <v>18</v>
      </c>
      <c r="O47" s="111">
        <f t="shared" si="11"/>
        <v>21</v>
      </c>
      <c r="P47" s="113">
        <f t="shared" si="12"/>
        <v>695.32119522042251</v>
      </c>
      <c r="Q47" s="111">
        <f t="shared" si="5"/>
        <v>18</v>
      </c>
      <c r="R47" s="112">
        <f t="shared" si="14"/>
        <v>0.36285455074781264</v>
      </c>
      <c r="S47" s="112">
        <f t="shared" si="15"/>
        <v>-1.62734369813386</v>
      </c>
      <c r="T47" s="111">
        <f t="shared" si="13"/>
        <v>73</v>
      </c>
      <c r="U47" s="109"/>
    </row>
    <row r="48" spans="1:21" customFormat="1" ht="14.5">
      <c r="A48" s="35">
        <v>44</v>
      </c>
      <c r="B48" s="107" t="s">
        <v>61</v>
      </c>
      <c r="C48" s="108">
        <v>189381</v>
      </c>
      <c r="D48" s="109">
        <v>170656.19863018335</v>
      </c>
      <c r="E48" s="109">
        <v>10</v>
      </c>
      <c r="F48" s="109">
        <v>751</v>
      </c>
      <c r="H48" s="110">
        <v>98.810093689999988</v>
      </c>
      <c r="I48" s="110">
        <v>95.137726950000001</v>
      </c>
      <c r="J48" s="111">
        <f t="shared" si="8"/>
        <v>17</v>
      </c>
      <c r="K48" s="111">
        <f t="shared" si="8"/>
        <v>11</v>
      </c>
      <c r="M48" s="112">
        <f t="shared" si="3"/>
        <v>4.4006605445808482</v>
      </c>
      <c r="N48" s="111">
        <f t="shared" si="4"/>
        <v>45</v>
      </c>
      <c r="O48" s="111">
        <f t="shared" si="11"/>
        <v>9</v>
      </c>
      <c r="P48" s="113">
        <f t="shared" si="12"/>
        <v>579.00090640202382</v>
      </c>
      <c r="Q48" s="111">
        <f t="shared" si="5"/>
        <v>32</v>
      </c>
      <c r="R48" s="112">
        <f t="shared" si="14"/>
        <v>3.8600530596342852</v>
      </c>
      <c r="S48" s="112">
        <f t="shared" si="15"/>
        <v>1.8005052652506164</v>
      </c>
      <c r="T48" s="111">
        <f t="shared" si="13"/>
        <v>35</v>
      </c>
      <c r="U48" s="109"/>
    </row>
    <row r="49" spans="1:21" customFormat="1" ht="14.5">
      <c r="A49" s="35">
        <v>45</v>
      </c>
      <c r="B49" s="107" t="s">
        <v>62</v>
      </c>
      <c r="C49" s="108">
        <v>219697</v>
      </c>
      <c r="D49" s="109">
        <v>154447.40678992576</v>
      </c>
      <c r="E49" s="109">
        <v>7</v>
      </c>
      <c r="F49" s="109">
        <v>523</v>
      </c>
      <c r="H49" s="110">
        <v>95.699646060000006</v>
      </c>
      <c r="I49" s="110">
        <v>90.271752750000005</v>
      </c>
      <c r="J49" s="111">
        <f t="shared" si="8"/>
        <v>31</v>
      </c>
      <c r="K49" s="111">
        <f t="shared" si="8"/>
        <v>22</v>
      </c>
      <c r="M49" s="112">
        <f t="shared" si="3"/>
        <v>3.3862659844549361</v>
      </c>
      <c r="N49" s="111">
        <f t="shared" si="4"/>
        <v>57</v>
      </c>
      <c r="O49" s="111">
        <f t="shared" si="11"/>
        <v>10</v>
      </c>
      <c r="P49" s="113">
        <f t="shared" si="12"/>
        <v>619.62611123777231</v>
      </c>
      <c r="Q49" s="111">
        <f t="shared" si="5"/>
        <v>25</v>
      </c>
      <c r="R49" s="112">
        <f t="shared" si="14"/>
        <v>6.0128369557995551</v>
      </c>
      <c r="S49" s="112">
        <f t="shared" si="15"/>
        <v>3.9105993957695442</v>
      </c>
      <c r="T49" s="111">
        <f t="shared" si="13"/>
        <v>20</v>
      </c>
      <c r="U49" s="109"/>
    </row>
    <row r="50" spans="1:21" customFormat="1" ht="14.5">
      <c r="A50" s="35">
        <v>46</v>
      </c>
      <c r="B50" s="107" t="s">
        <v>63</v>
      </c>
      <c r="C50" s="108">
        <v>57626</v>
      </c>
      <c r="D50" s="109">
        <v>44227.259130555649</v>
      </c>
      <c r="E50" s="109">
        <v>8</v>
      </c>
      <c r="F50" s="109">
        <v>281</v>
      </c>
      <c r="H50" s="110">
        <v>40.727200949999997</v>
      </c>
      <c r="I50" s="110">
        <v>36.959276600000003</v>
      </c>
      <c r="J50" s="111">
        <f t="shared" si="8"/>
        <v>27</v>
      </c>
      <c r="K50" s="111">
        <f t="shared" si="8"/>
        <v>35</v>
      </c>
      <c r="M50" s="112">
        <f t="shared" si="3"/>
        <v>6.3535476881013233</v>
      </c>
      <c r="N50" s="111">
        <f t="shared" si="4"/>
        <v>22</v>
      </c>
      <c r="O50" s="111">
        <f t="shared" si="11"/>
        <v>29</v>
      </c>
      <c r="P50" s="113">
        <f t="shared" si="12"/>
        <v>920.86196953277761</v>
      </c>
      <c r="Q50" s="111">
        <f t="shared" si="5"/>
        <v>3</v>
      </c>
      <c r="R50" s="112">
        <f t="shared" si="14"/>
        <v>10.194800051903597</v>
      </c>
      <c r="S50" s="112">
        <f t="shared" si="15"/>
        <v>8.0096340452086334</v>
      </c>
      <c r="T50" s="111">
        <f t="shared" si="13"/>
        <v>6</v>
      </c>
    </row>
    <row r="51" spans="1:21" customFormat="1" ht="14.5">
      <c r="A51" s="35">
        <v>47</v>
      </c>
      <c r="B51" s="107" t="s">
        <v>64</v>
      </c>
      <c r="C51" s="108">
        <v>56384</v>
      </c>
      <c r="D51" s="109">
        <v>41557.053537590982</v>
      </c>
      <c r="E51" s="109">
        <v>5</v>
      </c>
      <c r="F51" s="109">
        <v>248</v>
      </c>
      <c r="H51" s="110">
        <v>23.906924549999999</v>
      </c>
      <c r="I51" s="110">
        <v>22.222664999999999</v>
      </c>
      <c r="J51" s="111">
        <f t="shared" si="8"/>
        <v>37</v>
      </c>
      <c r="K51" s="111">
        <f t="shared" si="8"/>
        <v>36</v>
      </c>
      <c r="M51" s="112">
        <f t="shared" si="3"/>
        <v>5.9676993166916494</v>
      </c>
      <c r="N51" s="111">
        <f t="shared" si="4"/>
        <v>30</v>
      </c>
      <c r="O51" s="111">
        <f t="shared" si="11"/>
        <v>37</v>
      </c>
      <c r="P51" s="113">
        <f t="shared" si="12"/>
        <v>575.27958589207185</v>
      </c>
      <c r="Q51" s="111">
        <f t="shared" si="5"/>
        <v>33</v>
      </c>
      <c r="R51" s="112">
        <f t="shared" si="14"/>
        <v>7.5790169630870112</v>
      </c>
      <c r="S51" s="112">
        <f t="shared" si="15"/>
        <v>5.4457220091447915</v>
      </c>
      <c r="T51" s="111">
        <f t="shared" si="13"/>
        <v>11</v>
      </c>
    </row>
    <row r="52" spans="1:21" customFormat="1" ht="14.5">
      <c r="A52" s="35">
        <v>48</v>
      </c>
      <c r="B52" s="107" t="s">
        <v>65</v>
      </c>
      <c r="C52" s="108">
        <v>30836</v>
      </c>
      <c r="D52" s="109">
        <v>24369.407740048744</v>
      </c>
      <c r="E52" s="109">
        <v>2</v>
      </c>
      <c r="F52" s="109">
        <v>103</v>
      </c>
      <c r="H52" s="110">
        <v>6.354572140000001</v>
      </c>
      <c r="I52" s="110">
        <v>6.1378256500000008</v>
      </c>
      <c r="J52" s="111">
        <f t="shared" si="8"/>
        <v>55</v>
      </c>
      <c r="K52" s="111">
        <f t="shared" si="8"/>
        <v>53</v>
      </c>
      <c r="M52" s="112">
        <f t="shared" si="3"/>
        <v>4.2266107202404246</v>
      </c>
      <c r="N52" s="111">
        <f t="shared" si="4"/>
        <v>49</v>
      </c>
      <c r="O52" s="111">
        <f t="shared" si="11"/>
        <v>58</v>
      </c>
      <c r="P52" s="113">
        <f t="shared" si="12"/>
        <v>260.76022067441886</v>
      </c>
      <c r="Q52" s="111">
        <f t="shared" si="5"/>
        <v>58</v>
      </c>
      <c r="R52" s="112">
        <f t="shared" si="14"/>
        <v>3.5313236699709809</v>
      </c>
      <c r="S52" s="112">
        <f t="shared" si="15"/>
        <v>1.4782945886967842</v>
      </c>
      <c r="T52" s="111">
        <f t="shared" si="13"/>
        <v>41</v>
      </c>
    </row>
    <row r="53" spans="1:21" customFormat="1" ht="14.5">
      <c r="A53" s="35">
        <v>49</v>
      </c>
      <c r="B53" s="107" t="s">
        <v>66</v>
      </c>
      <c r="C53" s="108">
        <v>209268</v>
      </c>
      <c r="D53" s="109">
        <v>167280.13786205539</v>
      </c>
      <c r="E53" s="109">
        <v>15</v>
      </c>
      <c r="F53" s="109">
        <v>955</v>
      </c>
      <c r="H53" s="110">
        <v>126.04599869</v>
      </c>
      <c r="I53" s="110">
        <v>121.41768802</v>
      </c>
      <c r="J53" s="111">
        <f t="shared" si="8"/>
        <v>4</v>
      </c>
      <c r="K53" s="111">
        <f t="shared" si="8"/>
        <v>3</v>
      </c>
      <c r="M53" s="112">
        <f t="shared" si="3"/>
        <v>5.7089862084375129</v>
      </c>
      <c r="N53" s="111">
        <f t="shared" si="4"/>
        <v>33</v>
      </c>
      <c r="O53" s="111">
        <f t="shared" si="11"/>
        <v>8</v>
      </c>
      <c r="P53" s="113">
        <f t="shared" si="12"/>
        <v>753.50247973815999</v>
      </c>
      <c r="Q53" s="111">
        <f t="shared" si="5"/>
        <v>13</v>
      </c>
      <c r="R53" s="112">
        <f t="shared" si="14"/>
        <v>3.8118916160202514</v>
      </c>
      <c r="S53" s="112">
        <f t="shared" si="15"/>
        <v>1.7532988644277954</v>
      </c>
      <c r="T53" s="111">
        <f t="shared" si="13"/>
        <v>36</v>
      </c>
      <c r="U53" s="109"/>
    </row>
    <row r="54" spans="1:21" customFormat="1" ht="14.5">
      <c r="A54" s="35">
        <v>50</v>
      </c>
      <c r="B54" s="107" t="s">
        <v>67</v>
      </c>
      <c r="C54" s="108">
        <v>129732</v>
      </c>
      <c r="D54" s="109">
        <v>103815.54935724112</v>
      </c>
      <c r="E54" s="109">
        <v>11</v>
      </c>
      <c r="F54" s="109">
        <v>746</v>
      </c>
      <c r="H54" s="110">
        <v>86.596862290000004</v>
      </c>
      <c r="I54" s="110">
        <v>85.434267050000003</v>
      </c>
      <c r="J54" s="111">
        <f t="shared" si="8"/>
        <v>14</v>
      </c>
      <c r="K54" s="111">
        <f t="shared" si="8"/>
        <v>12</v>
      </c>
      <c r="M54" s="112">
        <f t="shared" si="3"/>
        <v>7.1858214363720121</v>
      </c>
      <c r="N54" s="111">
        <f t="shared" si="4"/>
        <v>15</v>
      </c>
      <c r="O54" s="111">
        <f t="shared" si="11"/>
        <v>13</v>
      </c>
      <c r="P54" s="113">
        <f t="shared" si="12"/>
        <v>834.14154070514383</v>
      </c>
      <c r="Q54" s="111">
        <f t="shared" si="5"/>
        <v>8</v>
      </c>
      <c r="R54" s="112">
        <f t="shared" si="14"/>
        <v>1.3608067115734701</v>
      </c>
      <c r="S54" s="112">
        <f t="shared" si="15"/>
        <v>-0.64918095692797373</v>
      </c>
      <c r="T54" s="111">
        <f t="shared" si="13"/>
        <v>66</v>
      </c>
      <c r="U54" s="109"/>
    </row>
    <row r="55" spans="1:21" customFormat="1" ht="14.5">
      <c r="A55" s="35">
        <v>51</v>
      </c>
      <c r="B55" s="107" t="s">
        <v>68</v>
      </c>
      <c r="C55" s="108">
        <v>39814</v>
      </c>
      <c r="D55" s="109">
        <v>29971.105760769464</v>
      </c>
      <c r="E55" s="109">
        <v>3</v>
      </c>
      <c r="F55" s="109">
        <v>110</v>
      </c>
      <c r="H55" s="110">
        <v>11.27809996</v>
      </c>
      <c r="I55" s="110">
        <v>10.391902999999999</v>
      </c>
      <c r="J55" s="111">
        <f t="shared" si="8"/>
        <v>48</v>
      </c>
      <c r="K55" s="111">
        <f t="shared" si="8"/>
        <v>49</v>
      </c>
      <c r="M55" s="112">
        <f t="shared" si="3"/>
        <v>3.6702015894249711</v>
      </c>
      <c r="N55" s="111">
        <f t="shared" si="4"/>
        <v>55</v>
      </c>
      <c r="O55" s="111">
        <f t="shared" si="11"/>
        <v>45</v>
      </c>
      <c r="P55" s="113">
        <f t="shared" si="12"/>
        <v>376.29909453532463</v>
      </c>
      <c r="Q55" s="111">
        <f t="shared" si="5"/>
        <v>49</v>
      </c>
      <c r="R55" s="112">
        <f t="shared" si="14"/>
        <v>8.5277639716229192</v>
      </c>
      <c r="S55" s="112">
        <f t="shared" si="15"/>
        <v>6.3756553376247469</v>
      </c>
      <c r="T55" s="111">
        <f t="shared" si="13"/>
        <v>9</v>
      </c>
    </row>
    <row r="56" spans="1:21" customFormat="1" ht="14.5">
      <c r="A56" s="35">
        <v>52</v>
      </c>
      <c r="B56" s="107" t="s">
        <v>69</v>
      </c>
      <c r="C56" s="108">
        <v>186534</v>
      </c>
      <c r="D56" s="109">
        <v>152449.34086291475</v>
      </c>
      <c r="E56" s="109">
        <v>12</v>
      </c>
      <c r="F56" s="109">
        <v>639</v>
      </c>
      <c r="H56" s="110">
        <v>64.64111505000001</v>
      </c>
      <c r="I56" s="110">
        <v>61.43868097</v>
      </c>
      <c r="J56" s="111">
        <f t="shared" si="8"/>
        <v>12</v>
      </c>
      <c r="K56" s="111">
        <f t="shared" si="8"/>
        <v>19</v>
      </c>
      <c r="M56" s="112">
        <f t="shared" si="3"/>
        <v>4.1915563319791627</v>
      </c>
      <c r="N56" s="111">
        <f t="shared" si="4"/>
        <v>50</v>
      </c>
      <c r="O56" s="111">
        <f t="shared" si="11"/>
        <v>20</v>
      </c>
      <c r="P56" s="113">
        <f t="shared" si="12"/>
        <v>424.01701892648055</v>
      </c>
      <c r="Q56" s="111">
        <f t="shared" si="5"/>
        <v>45</v>
      </c>
      <c r="R56" s="112">
        <f t="shared" si="14"/>
        <v>5.2124069550967942</v>
      </c>
      <c r="S56" s="112">
        <f t="shared" si="15"/>
        <v>3.1260419446558068</v>
      </c>
      <c r="T56" s="111">
        <f t="shared" si="13"/>
        <v>25</v>
      </c>
      <c r="U56" s="109"/>
    </row>
    <row r="57" spans="1:21" customFormat="1" ht="14.5">
      <c r="A57" s="35">
        <v>53</v>
      </c>
      <c r="B57" s="107" t="s">
        <v>70</v>
      </c>
      <c r="C57" s="108">
        <v>171450</v>
      </c>
      <c r="D57" s="109">
        <v>135882.00296047414</v>
      </c>
      <c r="E57" s="109">
        <v>16</v>
      </c>
      <c r="F57" s="109">
        <v>765</v>
      </c>
      <c r="H57" s="110">
        <v>88.228556770000012</v>
      </c>
      <c r="I57" s="110">
        <v>87.818238919999999</v>
      </c>
      <c r="J57" s="111">
        <f t="shared" si="8"/>
        <v>2</v>
      </c>
      <c r="K57" s="111">
        <f t="shared" si="8"/>
        <v>10</v>
      </c>
      <c r="M57" s="112">
        <f t="shared" si="3"/>
        <v>5.6298846302885748</v>
      </c>
      <c r="N57" s="111">
        <f t="shared" si="4"/>
        <v>34</v>
      </c>
      <c r="O57" s="111">
        <f t="shared" si="11"/>
        <v>12</v>
      </c>
      <c r="P57" s="113">
        <f t="shared" si="12"/>
        <v>649.30273949276614</v>
      </c>
      <c r="Q57" s="111">
        <f t="shared" si="5"/>
        <v>21</v>
      </c>
      <c r="R57" s="112">
        <f t="shared" si="14"/>
        <v>0.46723534318856119</v>
      </c>
      <c r="S57" s="112">
        <f t="shared" si="15"/>
        <v>-1.5250327797641661</v>
      </c>
      <c r="T57" s="111">
        <f t="shared" si="13"/>
        <v>72</v>
      </c>
      <c r="U57" s="109"/>
    </row>
    <row r="58" spans="1:21" customFormat="1" ht="14.5">
      <c r="A58" s="35">
        <v>54</v>
      </c>
      <c r="B58" s="107" t="s">
        <v>71</v>
      </c>
      <c r="C58" s="108">
        <v>20799</v>
      </c>
      <c r="D58" s="109">
        <v>17009.166660186624</v>
      </c>
      <c r="E58" s="109">
        <v>1</v>
      </c>
      <c r="F58" s="109">
        <v>30</v>
      </c>
      <c r="H58" s="110">
        <v>3.1333836500000003</v>
      </c>
      <c r="I58" s="110">
        <v>3.171764</v>
      </c>
      <c r="J58" s="111">
        <f t="shared" si="8"/>
        <v>64</v>
      </c>
      <c r="K58" s="111">
        <f t="shared" si="8"/>
        <v>67</v>
      </c>
      <c r="M58" s="112">
        <f t="shared" si="3"/>
        <v>1.7637548387494513</v>
      </c>
      <c r="N58" s="111">
        <f t="shared" si="4"/>
        <v>68</v>
      </c>
      <c r="O58" s="111">
        <f t="shared" si="11"/>
        <v>63</v>
      </c>
      <c r="P58" s="113">
        <f t="shared" si="12"/>
        <v>184.21735247819723</v>
      </c>
      <c r="Q58" s="111">
        <f t="shared" si="5"/>
        <v>65</v>
      </c>
      <c r="R58" s="112">
        <f t="shared" si="14"/>
        <v>-1.2100632329517496</v>
      </c>
      <c r="S58" s="112">
        <f t="shared" si="15"/>
        <v>-3.1690704776240768</v>
      </c>
      <c r="T58" s="111">
        <f t="shared" si="13"/>
        <v>74</v>
      </c>
    </row>
    <row r="59" spans="1:21" customFormat="1" ht="14.5">
      <c r="A59" s="35">
        <v>55</v>
      </c>
      <c r="B59" s="107" t="s">
        <v>72</v>
      </c>
      <c r="C59" s="108">
        <v>17717</v>
      </c>
      <c r="D59" s="109">
        <v>13465.121215218625</v>
      </c>
      <c r="E59" s="109">
        <v>0</v>
      </c>
      <c r="F59" s="109">
        <v>0</v>
      </c>
      <c r="H59" s="110">
        <v>0</v>
      </c>
      <c r="I59" s="110">
        <v>0</v>
      </c>
      <c r="J59" s="111">
        <f t="shared" si="8"/>
        <v>71</v>
      </c>
      <c r="K59" s="111">
        <f t="shared" si="8"/>
        <v>71</v>
      </c>
      <c r="M59" s="112">
        <f t="shared" si="3"/>
        <v>0</v>
      </c>
      <c r="N59" s="111">
        <f t="shared" si="4"/>
        <v>71</v>
      </c>
      <c r="O59" s="111">
        <f t="shared" si="11"/>
        <v>71</v>
      </c>
      <c r="P59" s="113">
        <f t="shared" si="12"/>
        <v>0</v>
      </c>
      <c r="Q59" s="111">
        <f t="shared" si="5"/>
        <v>71</v>
      </c>
      <c r="R59" s="112"/>
      <c r="S59" s="112">
        <v>0</v>
      </c>
      <c r="T59" s="111">
        <f t="shared" si="13"/>
        <v>55</v>
      </c>
    </row>
    <row r="60" spans="1:21" customFormat="1" ht="14.5">
      <c r="A60" s="35">
        <v>56</v>
      </c>
      <c r="B60" s="107" t="s">
        <v>73</v>
      </c>
      <c r="C60" s="108">
        <v>15603</v>
      </c>
      <c r="D60" s="109">
        <v>12662.597416354476</v>
      </c>
      <c r="E60" s="109">
        <v>1</v>
      </c>
      <c r="F60" s="109">
        <v>25</v>
      </c>
      <c r="H60" s="110">
        <v>1.7276118599999999</v>
      </c>
      <c r="I60" s="110">
        <v>1.6127119999999999</v>
      </c>
      <c r="J60" s="111">
        <f t="shared" si="8"/>
        <v>64</v>
      </c>
      <c r="K60" s="111">
        <f t="shared" si="8"/>
        <v>69</v>
      </c>
      <c r="M60" s="112">
        <f t="shared" si="3"/>
        <v>1.9743184733734847</v>
      </c>
      <c r="N60" s="111">
        <f t="shared" si="4"/>
        <v>66</v>
      </c>
      <c r="O60" s="111">
        <f t="shared" si="11"/>
        <v>68</v>
      </c>
      <c r="P60" s="113">
        <f t="shared" si="12"/>
        <v>136.43424040068504</v>
      </c>
      <c r="Q60" s="111">
        <f t="shared" si="5"/>
        <v>69</v>
      </c>
      <c r="R60" s="112">
        <f>(H60-I60)/I60*100</f>
        <v>7.1246360168461562</v>
      </c>
      <c r="S60" s="112">
        <f>IF((I60*H$3/I$3)&gt;0,(H60-(I60*H$3/I$3))/(I60*H$3/I$3)*100,"")</f>
        <v>5.0003514499398678</v>
      </c>
      <c r="T60" s="111">
        <f t="shared" si="13"/>
        <v>15</v>
      </c>
    </row>
    <row r="61" spans="1:21" customFormat="1" ht="14.5">
      <c r="A61" s="35">
        <v>57</v>
      </c>
      <c r="B61" s="107" t="s">
        <v>74</v>
      </c>
      <c r="C61" s="108">
        <v>63693</v>
      </c>
      <c r="D61" s="109">
        <v>48250.185944613047</v>
      </c>
      <c r="E61" s="109">
        <v>2</v>
      </c>
      <c r="F61" s="109">
        <v>90</v>
      </c>
      <c r="H61" s="110">
        <v>10.01531243</v>
      </c>
      <c r="I61" s="110">
        <v>9.3688699999999994</v>
      </c>
      <c r="J61" s="111">
        <f t="shared" si="8"/>
        <v>55</v>
      </c>
      <c r="K61" s="111">
        <f t="shared" si="8"/>
        <v>56</v>
      </c>
      <c r="M61" s="112">
        <f t="shared" si="3"/>
        <v>1.8652777857335525</v>
      </c>
      <c r="N61" s="111">
        <f t="shared" si="4"/>
        <v>67</v>
      </c>
      <c r="O61" s="111">
        <f t="shared" si="11"/>
        <v>48</v>
      </c>
      <c r="P61" s="113">
        <f t="shared" si="12"/>
        <v>207.57044214289027</v>
      </c>
      <c r="Q61" s="111">
        <f t="shared" si="5"/>
        <v>63</v>
      </c>
      <c r="R61" s="112">
        <f>(H61-I61)/I61*100</f>
        <v>6.8998975330002503</v>
      </c>
      <c r="S61" s="112">
        <f>IF((I61*H$3/I$3)&gt;0,(H61-(I61*H$3/I$3))/(I61*H$3/I$3)*100,"")</f>
        <v>4.7800695365951631</v>
      </c>
      <c r="T61" s="111">
        <f t="shared" si="13"/>
        <v>17</v>
      </c>
      <c r="U61" s="109"/>
    </row>
    <row r="62" spans="1:21" customFormat="1" ht="14.5">
      <c r="A62" s="35">
        <v>58</v>
      </c>
      <c r="B62" s="107" t="s">
        <v>75</v>
      </c>
      <c r="C62" s="108">
        <v>11808</v>
      </c>
      <c r="D62" s="109">
        <v>9546.5975250441952</v>
      </c>
      <c r="E62" s="109">
        <v>2</v>
      </c>
      <c r="F62" s="109">
        <v>80</v>
      </c>
      <c r="H62" s="110">
        <v>4.1804977399999999</v>
      </c>
      <c r="I62" s="110">
        <v>4.5908899999999999</v>
      </c>
      <c r="J62" s="111">
        <f t="shared" si="8"/>
        <v>55</v>
      </c>
      <c r="K62" s="111">
        <f t="shared" si="8"/>
        <v>59</v>
      </c>
      <c r="M62" s="112">
        <f t="shared" si="3"/>
        <v>8.379948959839453</v>
      </c>
      <c r="N62" s="111">
        <f t="shared" si="4"/>
        <v>9</v>
      </c>
      <c r="O62" s="111">
        <f t="shared" si="11"/>
        <v>60</v>
      </c>
      <c r="P62" s="113">
        <f t="shared" si="12"/>
        <v>437.90447109905227</v>
      </c>
      <c r="Q62" s="111">
        <f t="shared" si="5"/>
        <v>43</v>
      </c>
      <c r="R62" s="112">
        <f>(H62-I62)/I62*100</f>
        <v>-8.9392745197554309</v>
      </c>
      <c r="S62" s="112">
        <f>IF((I62*H$3/I$3)&gt;0,(H62-(I62*H$3/I$3))/(I62*H$3/I$3)*100,"")</f>
        <v>-10.745011285652623</v>
      </c>
      <c r="T62" s="111">
        <f t="shared" si="13"/>
        <v>79</v>
      </c>
    </row>
    <row r="63" spans="1:21" customFormat="1" ht="14.5">
      <c r="A63" s="35">
        <v>59</v>
      </c>
      <c r="B63" s="107" t="s">
        <v>76</v>
      </c>
      <c r="C63" s="108">
        <v>112669</v>
      </c>
      <c r="D63" s="109">
        <v>97694.408733050266</v>
      </c>
      <c r="E63" s="109">
        <v>10</v>
      </c>
      <c r="F63" s="109">
        <v>377</v>
      </c>
      <c r="H63" s="110">
        <v>30.478856880000002</v>
      </c>
      <c r="I63" s="110">
        <v>29.44278323</v>
      </c>
      <c r="J63" s="111">
        <f t="shared" si="8"/>
        <v>17</v>
      </c>
      <c r="K63" s="111">
        <f t="shared" si="8"/>
        <v>30</v>
      </c>
      <c r="M63" s="112">
        <f t="shared" si="3"/>
        <v>3.8589721242916943</v>
      </c>
      <c r="N63" s="111">
        <f t="shared" si="4"/>
        <v>53</v>
      </c>
      <c r="O63" s="111">
        <f t="shared" si="11"/>
        <v>33</v>
      </c>
      <c r="P63" s="113">
        <f t="shared" si="12"/>
        <v>311.98158907213826</v>
      </c>
      <c r="Q63" s="111">
        <f t="shared" si="5"/>
        <v>53</v>
      </c>
      <c r="R63" s="112">
        <f>(H63-I63)/I63*100</f>
        <v>3.518939231751435</v>
      </c>
      <c r="S63" s="112">
        <f>IF((I63*H$3/I$3)&gt;0,(H63-(I63*H$3/I$3))/(I63*H$3/I$3)*100,"")</f>
        <v>1.4661557342379494</v>
      </c>
      <c r="T63" s="111">
        <f t="shared" si="13"/>
        <v>42</v>
      </c>
      <c r="U63" s="109"/>
    </row>
    <row r="64" spans="1:21" customFormat="1" ht="14.5">
      <c r="A64" s="35">
        <v>60</v>
      </c>
      <c r="B64" s="107" t="s">
        <v>77</v>
      </c>
      <c r="C64" s="108">
        <v>7958</v>
      </c>
      <c r="D64" s="109">
        <v>6428.3387105060365</v>
      </c>
      <c r="E64" s="109">
        <v>0</v>
      </c>
      <c r="F64" s="109">
        <v>0</v>
      </c>
      <c r="H64" s="110">
        <v>0</v>
      </c>
      <c r="I64" s="110">
        <v>0</v>
      </c>
      <c r="J64" s="111">
        <f t="shared" si="8"/>
        <v>71</v>
      </c>
      <c r="K64" s="111">
        <f t="shared" si="8"/>
        <v>71</v>
      </c>
      <c r="M64" s="112">
        <f t="shared" si="3"/>
        <v>0</v>
      </c>
      <c r="N64" s="111">
        <f t="shared" si="4"/>
        <v>71</v>
      </c>
      <c r="O64" s="111">
        <f t="shared" si="11"/>
        <v>71</v>
      </c>
      <c r="P64" s="113">
        <f t="shared" si="12"/>
        <v>0</v>
      </c>
      <c r="Q64" s="111">
        <f t="shared" si="5"/>
        <v>71</v>
      </c>
      <c r="R64" s="112"/>
      <c r="S64" s="112">
        <v>0</v>
      </c>
      <c r="T64" s="111">
        <f t="shared" si="13"/>
        <v>55</v>
      </c>
    </row>
    <row r="65" spans="1:21" customFormat="1" ht="14.5">
      <c r="A65" s="35">
        <v>61</v>
      </c>
      <c r="B65" s="107" t="s">
        <v>78</v>
      </c>
      <c r="C65" s="108">
        <v>3302</v>
      </c>
      <c r="D65" s="109">
        <v>2882.4685608400246</v>
      </c>
      <c r="E65" s="109">
        <v>1</v>
      </c>
      <c r="F65" s="109">
        <v>30</v>
      </c>
      <c r="H65" s="110">
        <v>1.1166074799999999</v>
      </c>
      <c r="I65" s="110">
        <v>1.1768434299999999</v>
      </c>
      <c r="J65" s="111">
        <f t="shared" si="8"/>
        <v>64</v>
      </c>
      <c r="K65" s="111">
        <f t="shared" si="8"/>
        <v>67</v>
      </c>
      <c r="M65" s="112">
        <f t="shared" si="3"/>
        <v>10.407745779977297</v>
      </c>
      <c r="N65" s="111">
        <f t="shared" si="4"/>
        <v>1</v>
      </c>
      <c r="O65" s="111">
        <f t="shared" si="11"/>
        <v>69</v>
      </c>
      <c r="P65" s="113">
        <f t="shared" si="12"/>
        <v>387.37889292870278</v>
      </c>
      <c r="Q65" s="111">
        <f t="shared" si="5"/>
        <v>48</v>
      </c>
      <c r="R65" s="112">
        <f t="shared" ref="R65:R75" si="16">(H65-I65)/I65*100</f>
        <v>-5.1184336390440688</v>
      </c>
      <c r="S65" s="112">
        <v>0</v>
      </c>
      <c r="T65" s="111">
        <f>RANK($S65,$S$5:$S$83)</f>
        <v>55</v>
      </c>
    </row>
    <row r="66" spans="1:21" customFormat="1" ht="14.5">
      <c r="A66" s="35">
        <v>62</v>
      </c>
      <c r="B66" s="107" t="s">
        <v>79</v>
      </c>
      <c r="C66" s="108">
        <v>31022</v>
      </c>
      <c r="D66" s="109">
        <v>24405.758115692828</v>
      </c>
      <c r="E66" s="109">
        <v>4</v>
      </c>
      <c r="F66" s="109">
        <v>105</v>
      </c>
      <c r="H66" s="110">
        <v>7.5412317400000006</v>
      </c>
      <c r="I66" s="110">
        <v>7.1574345399999997</v>
      </c>
      <c r="J66" s="111">
        <f t="shared" si="8"/>
        <v>41</v>
      </c>
      <c r="K66" s="111">
        <f t="shared" si="8"/>
        <v>51</v>
      </c>
      <c r="M66" s="112">
        <f t="shared" si="3"/>
        <v>4.3022634044908168</v>
      </c>
      <c r="N66" s="111">
        <f t="shared" si="4"/>
        <v>46</v>
      </c>
      <c r="O66" s="111">
        <f t="shared" si="11"/>
        <v>54</v>
      </c>
      <c r="P66" s="113">
        <f t="shared" si="12"/>
        <v>308.99395561701527</v>
      </c>
      <c r="Q66" s="111">
        <f t="shared" si="5"/>
        <v>54</v>
      </c>
      <c r="R66" s="112">
        <f t="shared" si="16"/>
        <v>5.3622173958436363</v>
      </c>
      <c r="S66" s="112">
        <f t="shared" ref="S66:S75" si="17">IF((I66*H$3/I$3)&gt;0,(H66-(I66*H$3/I$3))/(I66*H$3/I$3)*100,"")</f>
        <v>3.2728816401187042</v>
      </c>
      <c r="T66" s="111">
        <f t="shared" si="13"/>
        <v>24</v>
      </c>
    </row>
    <row r="67" spans="1:21" customFormat="1" ht="14.5">
      <c r="A67" s="35">
        <v>63</v>
      </c>
      <c r="B67" s="107" t="s">
        <v>80</v>
      </c>
      <c r="C67" s="108">
        <v>16525</v>
      </c>
      <c r="D67" s="109">
        <v>12945.687006678811</v>
      </c>
      <c r="E67" s="109">
        <v>2</v>
      </c>
      <c r="F67" s="109">
        <v>75</v>
      </c>
      <c r="H67" s="110">
        <v>7.1078872500000001</v>
      </c>
      <c r="I67" s="110">
        <v>6.8747369999999997</v>
      </c>
      <c r="J67" s="111">
        <f t="shared" si="8"/>
        <v>55</v>
      </c>
      <c r="K67" s="111">
        <f t="shared" si="8"/>
        <v>60</v>
      </c>
      <c r="M67" s="112">
        <f t="shared" si="3"/>
        <v>5.7934352932607398</v>
      </c>
      <c r="N67" s="111">
        <f t="shared" si="4"/>
        <v>32</v>
      </c>
      <c r="O67" s="111">
        <f t="shared" si="11"/>
        <v>55</v>
      </c>
      <c r="P67" s="113">
        <f t="shared" si="12"/>
        <v>549.05446472890696</v>
      </c>
      <c r="Q67" s="111">
        <f t="shared" si="5"/>
        <v>39</v>
      </c>
      <c r="R67" s="112">
        <f t="shared" si="16"/>
        <v>3.3914061003351903</v>
      </c>
      <c r="S67" s="112">
        <f t="shared" si="17"/>
        <v>1.3411515884305394</v>
      </c>
      <c r="T67" s="111">
        <f t="shared" si="13"/>
        <v>45</v>
      </c>
    </row>
    <row r="68" spans="1:21" ht="14.5">
      <c r="A68" s="35">
        <v>64</v>
      </c>
      <c r="B68" s="107" t="s">
        <v>81</v>
      </c>
      <c r="C68" s="108">
        <v>114038</v>
      </c>
      <c r="D68" s="109">
        <v>97819.171175281808</v>
      </c>
      <c r="E68" s="109">
        <v>5</v>
      </c>
      <c r="F68" s="109">
        <v>199</v>
      </c>
      <c r="G68"/>
      <c r="H68" s="110">
        <v>19.336495280000001</v>
      </c>
      <c r="I68" s="110">
        <v>19.809877190000002</v>
      </c>
      <c r="J68" s="111">
        <f t="shared" si="8"/>
        <v>37</v>
      </c>
      <c r="K68" s="111">
        <f t="shared" si="8"/>
        <v>41</v>
      </c>
      <c r="L68"/>
      <c r="M68" s="112">
        <f t="shared" si="3"/>
        <v>2.0343660410229059</v>
      </c>
      <c r="N68" s="111">
        <f t="shared" si="4"/>
        <v>64</v>
      </c>
      <c r="O68" s="111">
        <f t="shared" si="11"/>
        <v>40</v>
      </c>
      <c r="P68" s="113">
        <f t="shared" si="12"/>
        <v>197.67592638206889</v>
      </c>
      <c r="Q68" s="111">
        <f t="shared" si="5"/>
        <v>64</v>
      </c>
      <c r="R68" s="112">
        <f t="shared" si="16"/>
        <v>-2.3896256673361056</v>
      </c>
      <c r="S68" s="112">
        <f t="shared" si="17"/>
        <v>-4.325242155519236</v>
      </c>
      <c r="T68" s="111">
        <f t="shared" si="13"/>
        <v>78</v>
      </c>
      <c r="U68" s="109"/>
    </row>
    <row r="69" spans="1:21" ht="14.5">
      <c r="A69" s="35">
        <v>65</v>
      </c>
      <c r="B69" s="107" t="s">
        <v>82</v>
      </c>
      <c r="C69" s="108">
        <v>11739</v>
      </c>
      <c r="D69" s="109">
        <v>9662.9267230955247</v>
      </c>
      <c r="E69" s="109">
        <v>1</v>
      </c>
      <c r="F69" s="109">
        <v>32</v>
      </c>
      <c r="G69"/>
      <c r="H69" s="110">
        <v>2.6667192499999999</v>
      </c>
      <c r="I69" s="110">
        <v>2.3327399999999998</v>
      </c>
      <c r="J69" s="111">
        <f t="shared" si="8"/>
        <v>64</v>
      </c>
      <c r="K69" s="111">
        <f t="shared" si="8"/>
        <v>66</v>
      </c>
      <c r="L69"/>
      <c r="M69" s="112">
        <f t="shared" si="3"/>
        <v>3.3116260649598281</v>
      </c>
      <c r="N69" s="111">
        <f t="shared" si="4"/>
        <v>58</v>
      </c>
      <c r="O69" s="111">
        <f t="shared" ref="O69:O83" si="18">RANK(H69,H$5:H$83)</f>
        <v>65</v>
      </c>
      <c r="P69" s="113">
        <f t="shared" ref="P69:P85" si="19">H69/D69*1000000</f>
        <v>275.97428050719139</v>
      </c>
      <c r="Q69" s="111">
        <f t="shared" si="5"/>
        <v>57</v>
      </c>
      <c r="R69" s="112">
        <f t="shared" si="16"/>
        <v>14.317037046563271</v>
      </c>
      <c r="S69" s="112">
        <f t="shared" si="17"/>
        <v>12.05012696348696</v>
      </c>
      <c r="T69" s="111">
        <f t="shared" ref="T69:T83" si="20">RANK($S69,$S$5:$S$83)</f>
        <v>3</v>
      </c>
    </row>
    <row r="70" spans="1:21" ht="14.5">
      <c r="A70" s="35">
        <v>66</v>
      </c>
      <c r="B70" s="107" t="s">
        <v>83</v>
      </c>
      <c r="C70" s="108">
        <v>39928</v>
      </c>
      <c r="D70" s="109">
        <v>30279.512409650823</v>
      </c>
      <c r="E70" s="109">
        <v>3</v>
      </c>
      <c r="F70" s="109">
        <v>89</v>
      </c>
      <c r="G70"/>
      <c r="H70" s="110">
        <v>5.1606484999999997</v>
      </c>
      <c r="I70" s="110">
        <v>4.4492567699999999</v>
      </c>
      <c r="J70" s="111">
        <f t="shared" ref="J70:K83" si="21">RANK(E70,E$5:E$83)</f>
        <v>48</v>
      </c>
      <c r="K70" s="111">
        <f t="shared" si="21"/>
        <v>57</v>
      </c>
      <c r="L70"/>
      <c r="M70" s="112">
        <f t="shared" ref="M70:M85" si="22">F70/D70*1000</f>
        <v>2.939281148121577</v>
      </c>
      <c r="N70" s="111">
        <f t="shared" ref="N70:N83" si="23">RANK(M70,M$5:M$83)</f>
        <v>62</v>
      </c>
      <c r="O70" s="111">
        <f t="shared" si="18"/>
        <v>59</v>
      </c>
      <c r="P70" s="113">
        <f t="shared" si="19"/>
        <v>170.43367245092014</v>
      </c>
      <c r="Q70" s="111">
        <f t="shared" ref="Q70:Q83" si="24">RANK(P70,P$5:P$83)</f>
        <v>66</v>
      </c>
      <c r="R70" s="112">
        <f t="shared" si="16"/>
        <v>15.989001461922816</v>
      </c>
      <c r="S70" s="112">
        <f t="shared" si="17"/>
        <v>13.688936277125505</v>
      </c>
      <c r="T70" s="111">
        <f t="shared" si="20"/>
        <v>1</v>
      </c>
    </row>
    <row r="71" spans="1:21" ht="14.5">
      <c r="A71" s="35">
        <v>67</v>
      </c>
      <c r="B71" s="107" t="s">
        <v>84</v>
      </c>
      <c r="C71" s="108">
        <v>21094</v>
      </c>
      <c r="D71" s="109">
        <v>16164.177465585519</v>
      </c>
      <c r="E71" s="109">
        <v>4</v>
      </c>
      <c r="F71" s="109">
        <v>159</v>
      </c>
      <c r="G71"/>
      <c r="H71" s="110">
        <v>9.9970512500000002</v>
      </c>
      <c r="I71" s="110">
        <v>9.6604794700000003</v>
      </c>
      <c r="J71" s="111">
        <f t="shared" si="21"/>
        <v>41</v>
      </c>
      <c r="K71" s="111">
        <f t="shared" si="21"/>
        <v>43</v>
      </c>
      <c r="L71"/>
      <c r="M71" s="112">
        <f t="shared" si="22"/>
        <v>9.8365660942859794</v>
      </c>
      <c r="N71" s="111">
        <f t="shared" si="23"/>
        <v>2</v>
      </c>
      <c r="O71" s="111">
        <f t="shared" si="18"/>
        <v>49</v>
      </c>
      <c r="P71" s="113">
        <f t="shared" si="19"/>
        <v>618.46953062005844</v>
      </c>
      <c r="Q71" s="111">
        <f t="shared" si="24"/>
        <v>27</v>
      </c>
      <c r="R71" s="112">
        <f t="shared" si="16"/>
        <v>3.4840069899760358</v>
      </c>
      <c r="S71" s="112">
        <f t="shared" si="17"/>
        <v>1.4319161998065413</v>
      </c>
      <c r="T71" s="111">
        <f t="shared" si="20"/>
        <v>43</v>
      </c>
    </row>
    <row r="72" spans="1:21" ht="14.5">
      <c r="A72" s="35">
        <v>68</v>
      </c>
      <c r="B72" s="107" t="s">
        <v>85</v>
      </c>
      <c r="C72" s="108">
        <v>6237</v>
      </c>
      <c r="D72" s="109">
        <v>5004.5855838539164</v>
      </c>
      <c r="E72" s="109">
        <v>1</v>
      </c>
      <c r="F72" s="109">
        <v>10</v>
      </c>
      <c r="G72"/>
      <c r="H72" s="110">
        <v>0.45148677000000004</v>
      </c>
      <c r="I72" s="110">
        <v>0.43603599999999998</v>
      </c>
      <c r="J72" s="111">
        <f t="shared" si="21"/>
        <v>64</v>
      </c>
      <c r="K72" s="111">
        <f t="shared" si="21"/>
        <v>70</v>
      </c>
      <c r="L72"/>
      <c r="M72" s="112">
        <f t="shared" si="22"/>
        <v>1.9981674471234099</v>
      </c>
      <c r="N72" s="111">
        <f t="shared" si="23"/>
        <v>65</v>
      </c>
      <c r="O72" s="111">
        <f t="shared" si="18"/>
        <v>70</v>
      </c>
      <c r="P72" s="113">
        <f t="shared" si="19"/>
        <v>90.214616662089426</v>
      </c>
      <c r="Q72" s="111">
        <f t="shared" si="24"/>
        <v>70</v>
      </c>
      <c r="R72" s="112">
        <f t="shared" si="16"/>
        <v>3.5434620077241465</v>
      </c>
      <c r="S72" s="112">
        <f t="shared" si="17"/>
        <v>1.4901922228684497</v>
      </c>
      <c r="T72" s="111">
        <f t="shared" si="20"/>
        <v>40</v>
      </c>
    </row>
    <row r="73" spans="1:21" ht="14.5">
      <c r="A73" s="35">
        <v>69</v>
      </c>
      <c r="B73" s="107" t="s">
        <v>86</v>
      </c>
      <c r="C73" s="108">
        <v>30169</v>
      </c>
      <c r="D73" s="109">
        <v>23417.225664955669</v>
      </c>
      <c r="E73" s="109">
        <v>4</v>
      </c>
      <c r="F73" s="109">
        <v>154</v>
      </c>
      <c r="G73"/>
      <c r="H73" s="110">
        <v>10.87261767</v>
      </c>
      <c r="I73" s="110">
        <v>10.559115949999999</v>
      </c>
      <c r="J73" s="111">
        <f t="shared" si="21"/>
        <v>41</v>
      </c>
      <c r="K73" s="111">
        <f t="shared" si="21"/>
        <v>44</v>
      </c>
      <c r="L73"/>
      <c r="M73" s="112">
        <f t="shared" si="22"/>
        <v>6.5763554659877572</v>
      </c>
      <c r="N73" s="111">
        <f t="shared" si="23"/>
        <v>21</v>
      </c>
      <c r="O73" s="111">
        <f t="shared" si="18"/>
        <v>47</v>
      </c>
      <c r="P73" s="113">
        <f t="shared" si="19"/>
        <v>464.29999119285435</v>
      </c>
      <c r="Q73" s="111">
        <f t="shared" si="24"/>
        <v>40</v>
      </c>
      <c r="R73" s="112">
        <f t="shared" si="16"/>
        <v>2.969014844467178</v>
      </c>
      <c r="S73" s="112">
        <f t="shared" si="17"/>
        <v>0.9271363631321432</v>
      </c>
      <c r="T73" s="111">
        <f t="shared" si="20"/>
        <v>49</v>
      </c>
    </row>
    <row r="74" spans="1:21" ht="14.5">
      <c r="A74" s="35">
        <v>70</v>
      </c>
      <c r="B74" s="107" t="s">
        <v>87</v>
      </c>
      <c r="C74" s="108">
        <v>36150</v>
      </c>
      <c r="D74" s="109">
        <v>28117.404962820619</v>
      </c>
      <c r="E74" s="109">
        <v>8</v>
      </c>
      <c r="F74" s="109">
        <v>234</v>
      </c>
      <c r="G74"/>
      <c r="H74" s="110">
        <v>24.225843960000002</v>
      </c>
      <c r="I74" s="110">
        <v>23.211597749999999</v>
      </c>
      <c r="J74" s="111">
        <f t="shared" si="21"/>
        <v>27</v>
      </c>
      <c r="K74" s="111">
        <f t="shared" si="21"/>
        <v>37</v>
      </c>
      <c r="L74"/>
      <c r="M74" s="112">
        <f t="shared" si="22"/>
        <v>8.3222473876737926</v>
      </c>
      <c r="N74" s="111">
        <f t="shared" si="23"/>
        <v>10</v>
      </c>
      <c r="O74" s="111">
        <f t="shared" si="18"/>
        <v>36</v>
      </c>
      <c r="P74" s="113">
        <f t="shared" si="19"/>
        <v>861.59601115514067</v>
      </c>
      <c r="Q74" s="111">
        <f t="shared" si="24"/>
        <v>5</v>
      </c>
      <c r="R74" s="112">
        <f t="shared" si="16"/>
        <v>4.3695665456722095</v>
      </c>
      <c r="S74" s="112">
        <f t="shared" si="17"/>
        <v>2.299915084426595</v>
      </c>
      <c r="T74" s="111">
        <f t="shared" si="20"/>
        <v>28</v>
      </c>
    </row>
    <row r="75" spans="1:21" ht="14.5">
      <c r="A75" s="35">
        <v>71</v>
      </c>
      <c r="B75" s="107" t="s">
        <v>88</v>
      </c>
      <c r="C75" s="108">
        <v>46533</v>
      </c>
      <c r="D75" s="109">
        <v>36462.08205706357</v>
      </c>
      <c r="E75" s="109">
        <v>7</v>
      </c>
      <c r="F75" s="109">
        <v>315</v>
      </c>
      <c r="G75"/>
      <c r="H75" s="110">
        <v>27.335170690000002</v>
      </c>
      <c r="I75" s="110">
        <v>26.291861260000001</v>
      </c>
      <c r="J75" s="111">
        <f t="shared" si="21"/>
        <v>31</v>
      </c>
      <c r="K75" s="111">
        <f t="shared" si="21"/>
        <v>33</v>
      </c>
      <c r="L75"/>
      <c r="M75" s="112">
        <f t="shared" si="22"/>
        <v>8.6391117080758431</v>
      </c>
      <c r="N75" s="111">
        <f t="shared" si="23"/>
        <v>7</v>
      </c>
      <c r="O75" s="111">
        <f t="shared" si="18"/>
        <v>35</v>
      </c>
      <c r="P75" s="113">
        <f t="shared" si="19"/>
        <v>749.68759730231943</v>
      </c>
      <c r="Q75" s="111">
        <f t="shared" si="24"/>
        <v>15</v>
      </c>
      <c r="R75" s="112">
        <f t="shared" si="16"/>
        <v>3.9681839930719329</v>
      </c>
      <c r="S75" s="112">
        <f t="shared" si="17"/>
        <v>1.9064919592149978</v>
      </c>
      <c r="T75" s="111">
        <f t="shared" si="20"/>
        <v>33</v>
      </c>
    </row>
    <row r="76" spans="1:21" ht="14.5">
      <c r="A76" s="35">
        <v>72</v>
      </c>
      <c r="B76" s="107" t="s">
        <v>89</v>
      </c>
      <c r="C76" s="108">
        <v>3913</v>
      </c>
      <c r="D76" s="109">
        <v>3099.7566234426645</v>
      </c>
      <c r="E76" s="109">
        <v>0</v>
      </c>
      <c r="F76" s="109">
        <v>0</v>
      </c>
      <c r="G76"/>
      <c r="H76" s="110">
        <v>0</v>
      </c>
      <c r="I76" s="110">
        <v>0</v>
      </c>
      <c r="J76" s="111">
        <f t="shared" si="21"/>
        <v>71</v>
      </c>
      <c r="K76" s="111">
        <f t="shared" si="21"/>
        <v>71</v>
      </c>
      <c r="L76"/>
      <c r="M76" s="112">
        <f t="shared" si="22"/>
        <v>0</v>
      </c>
      <c r="N76" s="111">
        <f t="shared" si="23"/>
        <v>71</v>
      </c>
      <c r="O76" s="111">
        <f t="shared" si="18"/>
        <v>71</v>
      </c>
      <c r="P76" s="113">
        <f t="shared" si="19"/>
        <v>0</v>
      </c>
      <c r="Q76" s="111">
        <f t="shared" si="24"/>
        <v>71</v>
      </c>
      <c r="R76" s="112"/>
      <c r="S76" s="112">
        <v>0</v>
      </c>
      <c r="T76" s="111">
        <f t="shared" si="20"/>
        <v>55</v>
      </c>
    </row>
    <row r="77" spans="1:21" ht="14.5">
      <c r="A77" s="35">
        <v>73</v>
      </c>
      <c r="B77" s="107" t="s">
        <v>152</v>
      </c>
      <c r="C77" s="108">
        <v>183462</v>
      </c>
      <c r="D77" s="109">
        <v>146269.65708943736</v>
      </c>
      <c r="E77" s="109">
        <v>6</v>
      </c>
      <c r="F77" s="109">
        <v>430</v>
      </c>
      <c r="G77"/>
      <c r="H77" s="110">
        <v>62.945798120000006</v>
      </c>
      <c r="I77" s="110">
        <v>59.662331369999997</v>
      </c>
      <c r="J77" s="111">
        <f t="shared" si="21"/>
        <v>34</v>
      </c>
      <c r="K77" s="111">
        <f t="shared" si="21"/>
        <v>28</v>
      </c>
      <c r="L77"/>
      <c r="M77" s="112">
        <f t="shared" si="22"/>
        <v>2.9397758124029387</v>
      </c>
      <c r="N77" s="111">
        <f t="shared" si="23"/>
        <v>61</v>
      </c>
      <c r="O77" s="111">
        <f t="shared" si="18"/>
        <v>22</v>
      </c>
      <c r="P77" s="113">
        <f t="shared" si="19"/>
        <v>430.34077861761489</v>
      </c>
      <c r="Q77" s="111">
        <f t="shared" si="24"/>
        <v>44</v>
      </c>
      <c r="R77" s="112">
        <f t="shared" ref="R77:R82" si="25">(H77-I77)/I77*100</f>
        <v>5.5034167700175303</v>
      </c>
      <c r="S77" s="112">
        <f t="shared" ref="S77:S82" si="26">IF((I77*H$3/I$3)&gt;0,(H77-(I77*H$3/I$3))/(I77*H$3/I$3)*100,"")</f>
        <v>3.4112810267027429</v>
      </c>
      <c r="T77" s="111">
        <f t="shared" si="20"/>
        <v>23</v>
      </c>
      <c r="U77" s="109"/>
    </row>
    <row r="78" spans="1:21" ht="14.5">
      <c r="A78" s="35">
        <v>74</v>
      </c>
      <c r="B78" s="107" t="s">
        <v>90</v>
      </c>
      <c r="C78" s="108">
        <v>253204</v>
      </c>
      <c r="D78" s="109">
        <v>188176.92144848162</v>
      </c>
      <c r="E78" s="109">
        <v>10</v>
      </c>
      <c r="F78" s="109">
        <v>690</v>
      </c>
      <c r="G78"/>
      <c r="H78" s="110">
        <v>144.26392153</v>
      </c>
      <c r="I78" s="110">
        <v>139.02683181999998</v>
      </c>
      <c r="J78" s="111">
        <f t="shared" si="21"/>
        <v>17</v>
      </c>
      <c r="K78" s="111">
        <f t="shared" si="21"/>
        <v>14</v>
      </c>
      <c r="L78"/>
      <c r="M78" s="112">
        <f t="shared" si="22"/>
        <v>3.6667620805397525</v>
      </c>
      <c r="N78" s="111">
        <f t="shared" si="23"/>
        <v>56</v>
      </c>
      <c r="O78" s="111">
        <f t="shared" si="18"/>
        <v>4</v>
      </c>
      <c r="P78" s="113">
        <f t="shared" si="19"/>
        <v>766.63982182053098</v>
      </c>
      <c r="Q78" s="111">
        <f t="shared" si="24"/>
        <v>12</v>
      </c>
      <c r="R78" s="112">
        <f t="shared" si="25"/>
        <v>3.7669632843108696</v>
      </c>
      <c r="S78" s="112">
        <f t="shared" si="26"/>
        <v>1.7092614628089637</v>
      </c>
      <c r="T78" s="111">
        <f t="shared" si="20"/>
        <v>37</v>
      </c>
      <c r="U78" s="109"/>
    </row>
    <row r="79" spans="1:21" ht="14.5">
      <c r="A79" s="35">
        <v>75</v>
      </c>
      <c r="B79" s="107" t="s">
        <v>91</v>
      </c>
      <c r="C79" s="108">
        <v>44824</v>
      </c>
      <c r="D79" s="109">
        <v>33421.193928990877</v>
      </c>
      <c r="E79" s="109">
        <v>3</v>
      </c>
      <c r="F79" s="109">
        <v>150</v>
      </c>
      <c r="G79"/>
      <c r="H79" s="110">
        <v>11.118614460000002</v>
      </c>
      <c r="I79" s="110">
        <v>10.78276681</v>
      </c>
      <c r="J79" s="111">
        <f t="shared" si="21"/>
        <v>48</v>
      </c>
      <c r="K79" s="111">
        <f t="shared" si="21"/>
        <v>46</v>
      </c>
      <c r="L79"/>
      <c r="M79" s="112">
        <f t="shared" si="22"/>
        <v>4.4881700013081822</v>
      </c>
      <c r="N79" s="111">
        <f t="shared" si="23"/>
        <v>43</v>
      </c>
      <c r="O79" s="111">
        <f t="shared" si="18"/>
        <v>46</v>
      </c>
      <c r="P79" s="113">
        <f t="shared" si="19"/>
        <v>332.68154583655587</v>
      </c>
      <c r="Q79" s="111">
        <f t="shared" si="24"/>
        <v>52</v>
      </c>
      <c r="R79" s="112">
        <f t="shared" si="25"/>
        <v>3.1146704358711959</v>
      </c>
      <c r="S79" s="112">
        <f t="shared" si="26"/>
        <v>1.0699036000324009</v>
      </c>
      <c r="T79" s="111">
        <f t="shared" si="20"/>
        <v>48</v>
      </c>
    </row>
    <row r="80" spans="1:21" ht="14.5">
      <c r="A80" s="35">
        <v>76</v>
      </c>
      <c r="B80" s="107" t="s">
        <v>92</v>
      </c>
      <c r="C80" s="108">
        <v>337009</v>
      </c>
      <c r="D80" s="109">
        <v>235847.13128264944</v>
      </c>
      <c r="E80" s="109">
        <v>14</v>
      </c>
      <c r="F80" s="109">
        <v>973</v>
      </c>
      <c r="G80"/>
      <c r="H80" s="110">
        <v>132.35738544</v>
      </c>
      <c r="I80" s="110">
        <v>125.21306091</v>
      </c>
      <c r="J80" s="111">
        <f t="shared" si="21"/>
        <v>6</v>
      </c>
      <c r="K80" s="111">
        <f t="shared" si="21"/>
        <v>2</v>
      </c>
      <c r="L80"/>
      <c r="M80" s="112">
        <f t="shared" si="22"/>
        <v>4.1255536783863382</v>
      </c>
      <c r="N80" s="111">
        <f t="shared" si="23"/>
        <v>51</v>
      </c>
      <c r="O80" s="111">
        <f t="shared" si="18"/>
        <v>7</v>
      </c>
      <c r="P80" s="113">
        <f t="shared" si="19"/>
        <v>561.19989554325832</v>
      </c>
      <c r="Q80" s="111">
        <f t="shared" si="24"/>
        <v>37</v>
      </c>
      <c r="R80" s="112">
        <f t="shared" si="25"/>
        <v>5.705734272509452</v>
      </c>
      <c r="S80" s="112">
        <f t="shared" si="26"/>
        <v>3.6095865673888796</v>
      </c>
      <c r="T80" s="111">
        <f t="shared" si="20"/>
        <v>22</v>
      </c>
      <c r="U80" s="109"/>
    </row>
    <row r="81" spans="1:90" ht="14.5">
      <c r="A81" s="35">
        <v>77</v>
      </c>
      <c r="B81" s="107" t="s">
        <v>155</v>
      </c>
      <c r="C81" s="108">
        <v>100706</v>
      </c>
      <c r="D81" s="109">
        <v>88188.436831951389</v>
      </c>
      <c r="E81" s="109">
        <v>7</v>
      </c>
      <c r="F81" s="109">
        <v>288</v>
      </c>
      <c r="G81"/>
      <c r="H81" s="110">
        <v>31.632584680000004</v>
      </c>
      <c r="I81" s="110">
        <v>29.842339199999998</v>
      </c>
      <c r="J81" s="111">
        <f t="shared" si="21"/>
        <v>31</v>
      </c>
      <c r="K81" s="111">
        <f t="shared" si="21"/>
        <v>34</v>
      </c>
      <c r="L81"/>
      <c r="M81" s="112">
        <f t="shared" si="22"/>
        <v>3.2657342656929287</v>
      </c>
      <c r="N81" s="111">
        <f t="shared" si="23"/>
        <v>59</v>
      </c>
      <c r="O81" s="111">
        <f t="shared" si="18"/>
        <v>32</v>
      </c>
      <c r="P81" s="113">
        <f t="shared" si="19"/>
        <v>358.69311007607365</v>
      </c>
      <c r="Q81" s="111">
        <f t="shared" si="24"/>
        <v>50</v>
      </c>
      <c r="R81" s="112">
        <f t="shared" si="25"/>
        <v>5.9990119005148452</v>
      </c>
      <c r="S81" s="112">
        <f t="shared" si="26"/>
        <v>3.897048491722773</v>
      </c>
      <c r="T81" s="111">
        <f t="shared" si="20"/>
        <v>21</v>
      </c>
      <c r="U81" s="109"/>
    </row>
    <row r="82" spans="1:90" ht="14.5">
      <c r="A82" s="35">
        <v>78</v>
      </c>
      <c r="B82" s="107" t="s">
        <v>93</v>
      </c>
      <c r="C82" s="108">
        <v>160137</v>
      </c>
      <c r="D82" s="109">
        <v>122055.44580891528</v>
      </c>
      <c r="E82" s="109">
        <v>9</v>
      </c>
      <c r="F82" s="109">
        <v>452</v>
      </c>
      <c r="G82"/>
      <c r="H82" s="110">
        <v>30.194837510000003</v>
      </c>
      <c r="I82" s="110">
        <v>30.596818289999998</v>
      </c>
      <c r="J82" s="111">
        <f t="shared" si="21"/>
        <v>21</v>
      </c>
      <c r="K82" s="111">
        <f t="shared" si="21"/>
        <v>27</v>
      </c>
      <c r="L82"/>
      <c r="M82" s="112">
        <f t="shared" si="22"/>
        <v>3.703235009338556</v>
      </c>
      <c r="N82" s="111">
        <f t="shared" si="23"/>
        <v>54</v>
      </c>
      <c r="O82" s="111">
        <f t="shared" si="18"/>
        <v>34</v>
      </c>
      <c r="P82" s="113">
        <f t="shared" si="19"/>
        <v>247.3862375405333</v>
      </c>
      <c r="Q82" s="111">
        <f t="shared" si="24"/>
        <v>59</v>
      </c>
      <c r="R82" s="112">
        <f t="shared" si="25"/>
        <v>-1.3137992852393259</v>
      </c>
      <c r="S82" s="112">
        <f t="shared" si="26"/>
        <v>-3.2707494410561018</v>
      </c>
      <c r="T82" s="111">
        <f t="shared" si="20"/>
        <v>75</v>
      </c>
      <c r="U82" s="109"/>
    </row>
    <row r="83" spans="1:90" ht="14.5">
      <c r="A83" s="35">
        <v>79</v>
      </c>
      <c r="B83" s="107" t="s">
        <v>94</v>
      </c>
      <c r="C83" s="108">
        <v>6346</v>
      </c>
      <c r="D83" s="109">
        <v>5068.8538425418683</v>
      </c>
      <c r="E83" s="109">
        <v>0</v>
      </c>
      <c r="F83" s="109">
        <v>0</v>
      </c>
      <c r="G83"/>
      <c r="H83" s="110">
        <v>0</v>
      </c>
      <c r="I83" s="110">
        <v>0</v>
      </c>
      <c r="J83" s="111">
        <f t="shared" si="21"/>
        <v>71</v>
      </c>
      <c r="K83" s="111">
        <f t="shared" si="21"/>
        <v>71</v>
      </c>
      <c r="L83"/>
      <c r="M83" s="112">
        <f t="shared" si="22"/>
        <v>0</v>
      </c>
      <c r="N83" s="111">
        <f t="shared" si="23"/>
        <v>71</v>
      </c>
      <c r="O83" s="111">
        <f t="shared" si="18"/>
        <v>71</v>
      </c>
      <c r="P83" s="113">
        <f t="shared" si="19"/>
        <v>0</v>
      </c>
      <c r="Q83" s="111">
        <f t="shared" si="24"/>
        <v>71</v>
      </c>
      <c r="R83" s="112"/>
      <c r="S83" s="112">
        <v>0</v>
      </c>
      <c r="T83" s="111">
        <f t="shared" si="20"/>
        <v>55</v>
      </c>
    </row>
    <row r="84" spans="1:90" s="14" customFormat="1" ht="14.5">
      <c r="A84" s="35">
        <v>80</v>
      </c>
      <c r="B84" s="114" t="s">
        <v>572</v>
      </c>
      <c r="C84" s="13">
        <v>6978719</v>
      </c>
      <c r="D84" s="13">
        <v>5414113.1498774085</v>
      </c>
      <c r="E84" s="13">
        <v>485</v>
      </c>
      <c r="F84" s="13">
        <v>26258</v>
      </c>
      <c r="G84"/>
      <c r="H84" s="13">
        <v>3145.0783167700006</v>
      </c>
      <c r="I84" s="13">
        <f>SUM(I5:I83)</f>
        <v>3030.0262241400005</v>
      </c>
      <c r="J84" s="115" t="s">
        <v>569</v>
      </c>
      <c r="K84" s="115" t="s">
        <v>569</v>
      </c>
      <c r="L84"/>
      <c r="M84" s="116">
        <f t="shared" si="22"/>
        <v>4.8499171098030267</v>
      </c>
      <c r="N84" s="115" t="s">
        <v>569</v>
      </c>
      <c r="O84" s="115" t="s">
        <v>569</v>
      </c>
      <c r="P84" s="115">
        <f t="shared" si="19"/>
        <v>580.9036918338536</v>
      </c>
      <c r="Q84" s="115" t="s">
        <v>569</v>
      </c>
      <c r="R84" s="117">
        <f>(H84-I84)/I84*100</f>
        <v>3.7970659037003816</v>
      </c>
      <c r="S84" s="117">
        <f>IF((I84*H$3/I$3)&gt;0,(H84-(I84*H$3/I$3))/(I84*H$3/I$3)*100,"")</f>
        <v>1.7387671464032208</v>
      </c>
      <c r="T84" s="115" t="s">
        <v>569</v>
      </c>
      <c r="U84"/>
      <c r="V84"/>
      <c r="W84"/>
      <c r="X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ht="14.5">
      <c r="A85" s="35">
        <v>81</v>
      </c>
      <c r="B85" s="118" t="s">
        <v>573</v>
      </c>
      <c r="C85" s="13">
        <v>5256451</v>
      </c>
      <c r="D85" s="13">
        <v>4077971.9717596103</v>
      </c>
      <c r="E85" s="13">
        <v>301</v>
      </c>
      <c r="F85" s="13">
        <v>18505</v>
      </c>
      <c r="G85"/>
      <c r="H85" s="13">
        <v>2419.9886915500001</v>
      </c>
      <c r="I85" s="13">
        <f>SUM(I8,I11,I13:I14,I17:I18,I22,I24,I26,I30,I35,I37,I39:I40,I44,I46:I49,I53:I54,I56:I57,I61,I63,I68,I77:I78,I80:I82)</f>
        <v>2337.4020994399993</v>
      </c>
      <c r="J85" s="115" t="s">
        <v>569</v>
      </c>
      <c r="K85" s="115" t="s">
        <v>569</v>
      </c>
      <c r="L85"/>
      <c r="M85" s="116">
        <f t="shared" si="22"/>
        <v>4.5377947980390969</v>
      </c>
      <c r="N85" s="115" t="s">
        <v>569</v>
      </c>
      <c r="O85" s="115" t="s">
        <v>569</v>
      </c>
      <c r="P85" s="115">
        <f t="shared" si="19"/>
        <v>593.42945667814286</v>
      </c>
      <c r="Q85" s="115" t="s">
        <v>569</v>
      </c>
      <c r="R85" s="117">
        <f>(H85-I85)/I85*100</f>
        <v>3.5332642222656965</v>
      </c>
      <c r="S85" s="117">
        <f>IF((I85*H$3/I$3)&gt;0,(H85-(I85*H$3/I$3))/(I85*H$3/I$3)*100,"")</f>
        <v>1.4801966597845098</v>
      </c>
      <c r="T85" s="115" t="s">
        <v>569</v>
      </c>
    </row>
    <row r="87" spans="1:90">
      <c r="C87" s="52"/>
      <c r="D87" s="52"/>
      <c r="E87" s="52"/>
      <c r="F87" s="52"/>
      <c r="G87" s="52"/>
      <c r="H87" s="52"/>
      <c r="I87" s="52"/>
      <c r="J87" s="52"/>
      <c r="K87" s="52"/>
      <c r="L87" s="52"/>
      <c r="M87" s="52"/>
      <c r="N87" s="52"/>
      <c r="O87" s="52"/>
      <c r="P87" s="52"/>
      <c r="Q87" s="52"/>
      <c r="R87" s="52"/>
      <c r="S87" s="52"/>
      <c r="T87" s="52"/>
    </row>
    <row r="88" spans="1:90">
      <c r="C88" s="52"/>
    </row>
    <row r="90" spans="1:90" ht="24" customHeight="1">
      <c r="B90" s="62"/>
    </row>
    <row r="91" spans="1:90">
      <c r="C91" s="63" t="s">
        <v>7</v>
      </c>
      <c r="D91" s="63" t="s">
        <v>10</v>
      </c>
      <c r="E91" s="63" t="s">
        <v>12</v>
      </c>
      <c r="F91" s="63" t="s">
        <v>13</v>
      </c>
      <c r="G91" s="63" t="s">
        <v>16</v>
      </c>
      <c r="H91" s="63" t="s">
        <v>17</v>
      </c>
      <c r="I91" s="63" t="s">
        <v>35</v>
      </c>
      <c r="J91" s="63" t="s">
        <v>37</v>
      </c>
      <c r="K91" s="63" t="s">
        <v>39</v>
      </c>
      <c r="L91" s="63" t="s">
        <v>43</v>
      </c>
      <c r="M91" s="63" t="s">
        <v>48</v>
      </c>
      <c r="N91" s="63" t="s">
        <v>50</v>
      </c>
      <c r="O91" s="63" t="s">
        <v>52</v>
      </c>
      <c r="P91" s="63" t="s">
        <v>53</v>
      </c>
      <c r="Q91" s="63" t="s">
        <v>57</v>
      </c>
      <c r="R91" s="63" t="s">
        <v>59</v>
      </c>
      <c r="S91" s="63" t="s">
        <v>60</v>
      </c>
      <c r="T91" s="63" t="s">
        <v>61</v>
      </c>
      <c r="U91" s="63" t="s">
        <v>133</v>
      </c>
      <c r="V91" s="63" t="s">
        <v>136</v>
      </c>
      <c r="W91" s="101" t="s">
        <v>137</v>
      </c>
      <c r="X91" s="63" t="s">
        <v>139</v>
      </c>
      <c r="Y91" s="101" t="s">
        <v>140</v>
      </c>
      <c r="Z91" s="63" t="s">
        <v>74</v>
      </c>
      <c r="AA91" s="63" t="s">
        <v>76</v>
      </c>
      <c r="AB91" s="63" t="s">
        <v>81</v>
      </c>
      <c r="AC91" s="63" t="s">
        <v>152</v>
      </c>
      <c r="AD91" s="63" t="s">
        <v>90</v>
      </c>
      <c r="AE91" s="63" t="s">
        <v>92</v>
      </c>
      <c r="AF91" s="63" t="s">
        <v>155</v>
      </c>
      <c r="AG91" s="63" t="s">
        <v>93</v>
      </c>
    </row>
    <row r="92" spans="1:90" ht="23.25" customHeight="1">
      <c r="B92" s="64" t="str">
        <f>E4</f>
        <v>Venues mid-2025</v>
      </c>
      <c r="C92" s="65">
        <f>$E$8</f>
        <v>9</v>
      </c>
      <c r="D92" s="65">
        <f>$E$11</f>
        <v>3</v>
      </c>
      <c r="E92" s="65">
        <f>$E$13</f>
        <v>4</v>
      </c>
      <c r="F92" s="65">
        <f>$E$14</f>
        <v>15</v>
      </c>
      <c r="G92" s="65">
        <f>$E$17</f>
        <v>6</v>
      </c>
      <c r="H92" s="65">
        <f>$E$18</f>
        <v>13</v>
      </c>
      <c r="I92" s="65">
        <f>$E$22</f>
        <v>12</v>
      </c>
      <c r="J92" s="65">
        <f>$E$24</f>
        <v>9</v>
      </c>
      <c r="K92" s="65">
        <f>$E$26</f>
        <v>9</v>
      </c>
      <c r="L92" s="65">
        <f>$E$30</f>
        <v>14</v>
      </c>
      <c r="M92" s="65">
        <f>$E$35</f>
        <v>9</v>
      </c>
      <c r="N92" s="65">
        <f>$E$37</f>
        <v>14</v>
      </c>
      <c r="O92" s="65">
        <f>$E$39</f>
        <v>16</v>
      </c>
      <c r="P92" s="65">
        <f>$E$40</f>
        <v>11</v>
      </c>
      <c r="Q92" s="65">
        <f>$E$44</f>
        <v>6</v>
      </c>
      <c r="R92" s="65">
        <f>$E$46</f>
        <v>9</v>
      </c>
      <c r="S92" s="65">
        <f>$E$47</f>
        <v>8</v>
      </c>
      <c r="T92" s="65">
        <f>$E$48</f>
        <v>10</v>
      </c>
      <c r="U92" s="65">
        <f>$E$49</f>
        <v>7</v>
      </c>
      <c r="V92" s="65">
        <f>$E$53</f>
        <v>15</v>
      </c>
      <c r="W92" s="65">
        <f>$E$54</f>
        <v>11</v>
      </c>
      <c r="X92" s="65">
        <f>$E$56</f>
        <v>12</v>
      </c>
      <c r="Y92" s="65">
        <f>$E$57</f>
        <v>16</v>
      </c>
      <c r="Z92" s="65">
        <f>$E$61</f>
        <v>2</v>
      </c>
      <c r="AA92" s="65">
        <f>$E$63</f>
        <v>10</v>
      </c>
      <c r="AB92" s="65">
        <f>$E$68</f>
        <v>5</v>
      </c>
      <c r="AC92" s="65">
        <f>$E$77</f>
        <v>6</v>
      </c>
      <c r="AD92" s="65">
        <f>$E$78</f>
        <v>10</v>
      </c>
      <c r="AE92" s="65">
        <f>$E$80</f>
        <v>14</v>
      </c>
      <c r="AF92" s="65">
        <f>$E$81</f>
        <v>7</v>
      </c>
      <c r="AG92" s="65">
        <f>$E$82</f>
        <v>9</v>
      </c>
    </row>
    <row r="93" spans="1:90" ht="23.25" customHeight="1">
      <c r="B93" s="64" t="str">
        <f>F4</f>
        <v>EGMs June 2025</v>
      </c>
      <c r="C93" s="65">
        <f>$F$8</f>
        <v>634</v>
      </c>
      <c r="D93" s="65">
        <f>$F$11</f>
        <v>138</v>
      </c>
      <c r="E93" s="65">
        <f>$F$13</f>
        <v>161</v>
      </c>
      <c r="F93" s="65">
        <f>$F$14</f>
        <v>953</v>
      </c>
      <c r="G93" s="65">
        <f>$F$17</f>
        <v>405</v>
      </c>
      <c r="H93" s="65">
        <f>$F$18</f>
        <v>913</v>
      </c>
      <c r="I93" s="65">
        <f>$F$22</f>
        <v>714</v>
      </c>
      <c r="J93" s="65">
        <f>$F$24</f>
        <v>519</v>
      </c>
      <c r="K93" s="65">
        <f>$F$26</f>
        <v>652</v>
      </c>
      <c r="L93" s="65">
        <f>$F$30</f>
        <v>928</v>
      </c>
      <c r="M93" s="65">
        <f>$F$35</f>
        <v>535</v>
      </c>
      <c r="N93" s="65">
        <f>$F$37</f>
        <v>833</v>
      </c>
      <c r="O93" s="65">
        <f>$F$39</f>
        <v>898</v>
      </c>
      <c r="P93" s="65">
        <f>$F$40</f>
        <v>771</v>
      </c>
      <c r="Q93" s="65">
        <f>$F$44</f>
        <v>462</v>
      </c>
      <c r="R93" s="65">
        <f>$F$46</f>
        <v>471</v>
      </c>
      <c r="S93" s="65">
        <f>$F$47</f>
        <v>640</v>
      </c>
      <c r="T93" s="65">
        <f>$F$48</f>
        <v>751</v>
      </c>
      <c r="U93" s="65">
        <f>$F$49</f>
        <v>523</v>
      </c>
      <c r="V93" s="65">
        <f>$F$53</f>
        <v>955</v>
      </c>
      <c r="W93" s="65">
        <f>$F$54</f>
        <v>746</v>
      </c>
      <c r="X93" s="65">
        <f>$F$56</f>
        <v>639</v>
      </c>
      <c r="Y93" s="65">
        <f>$F$57</f>
        <v>765</v>
      </c>
      <c r="Z93" s="65">
        <f>$F$61</f>
        <v>90</v>
      </c>
      <c r="AA93" s="65">
        <f>$F$63</f>
        <v>377</v>
      </c>
      <c r="AB93" s="65">
        <f>$F$68</f>
        <v>199</v>
      </c>
      <c r="AC93" s="65">
        <f>$F$77</f>
        <v>430</v>
      </c>
      <c r="AD93" s="65">
        <f>$F$78</f>
        <v>690</v>
      </c>
      <c r="AE93" s="65">
        <f>$F$80</f>
        <v>973</v>
      </c>
      <c r="AF93" s="65">
        <f>$F$81</f>
        <v>288</v>
      </c>
      <c r="AG93" s="65">
        <f>$F$82</f>
        <v>452</v>
      </c>
    </row>
    <row r="94" spans="1:90" ht="23.25" customHeight="1">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row>
    <row r="95" spans="1:90" ht="23.25" customHeight="1">
      <c r="B95" s="64" t="str">
        <f>H4</f>
        <v>Losses 24/25 ($Million)</v>
      </c>
      <c r="C95" s="65">
        <f>$H$8</f>
        <v>59.053993599999991</v>
      </c>
      <c r="D95" s="65">
        <f>$H$11</f>
        <v>12.464512800000001</v>
      </c>
      <c r="E95" s="65">
        <f>$H$13</f>
        <v>19.26361155</v>
      </c>
      <c r="F95" s="65">
        <f>$H$14</f>
        <v>175.89778003000004</v>
      </c>
      <c r="G95" s="65">
        <f>$H$17</f>
        <v>39.473887759999997</v>
      </c>
      <c r="H95" s="65">
        <f>$H$18</f>
        <v>166.56442754999998</v>
      </c>
      <c r="I95" s="65">
        <f>$H$22</f>
        <v>83.375783499999997</v>
      </c>
      <c r="J95" s="65">
        <f>$H$24</f>
        <v>68.240983010000008</v>
      </c>
      <c r="K95" s="65">
        <f>$H$26</f>
        <v>74.734879169999999</v>
      </c>
      <c r="L95" s="65">
        <f>$H$30</f>
        <v>141.17536156</v>
      </c>
      <c r="M95" s="65">
        <f>$H$35</f>
        <v>50.208970970000003</v>
      </c>
      <c r="N95" s="65">
        <f>$H$37</f>
        <v>147.90996355000001</v>
      </c>
      <c r="O95" s="65">
        <f>$H$39</f>
        <v>89.378925429999995</v>
      </c>
      <c r="P95" s="65">
        <f>$H$40</f>
        <v>79.237592809999995</v>
      </c>
      <c r="Q95" s="65">
        <f>$H$44</f>
        <v>59.126804770000014</v>
      </c>
      <c r="R95" s="65">
        <f>$H$46</f>
        <v>68.43299353999997</v>
      </c>
      <c r="S95" s="65">
        <f>$H$47</f>
        <v>64.200755529999995</v>
      </c>
      <c r="T95" s="65">
        <f>$H$48</f>
        <v>98.810093689999988</v>
      </c>
      <c r="U95" s="65">
        <f>$H$49</f>
        <v>95.699646060000006</v>
      </c>
      <c r="V95" s="65">
        <f>$H$53</f>
        <v>126.04599869</v>
      </c>
      <c r="W95" s="65">
        <f>$H$54</f>
        <v>86.596862290000004</v>
      </c>
      <c r="X95" s="65">
        <f>$H$56</f>
        <v>64.64111505000001</v>
      </c>
      <c r="Y95" s="65">
        <f>$H$57</f>
        <v>88.228556770000012</v>
      </c>
      <c r="Z95" s="65">
        <f>$H$61</f>
        <v>10.01531243</v>
      </c>
      <c r="AA95" s="65">
        <f>$H$63</f>
        <v>30.478856880000002</v>
      </c>
      <c r="AB95" s="65">
        <f>$H$68</f>
        <v>19.336495280000001</v>
      </c>
      <c r="AC95" s="65">
        <f>$H$77</f>
        <v>62.945798120000006</v>
      </c>
      <c r="AD95" s="65">
        <f>$H$78</f>
        <v>144.26392153</v>
      </c>
      <c r="AE95" s="65">
        <f>$H$80</f>
        <v>132.35738544</v>
      </c>
      <c r="AF95" s="65">
        <f>$H$81</f>
        <v>31.632584680000004</v>
      </c>
      <c r="AG95" s="65">
        <f>$H$82</f>
        <v>30.194837510000003</v>
      </c>
    </row>
    <row r="96" spans="1:90" ht="23.25" customHeight="1">
      <c r="B96" s="64" t="str">
        <f>M4</f>
        <v>EGMs per 1,000 adults:
 2025</v>
      </c>
      <c r="C96" s="65">
        <f>$M$8</f>
        <v>6.1707893120682948</v>
      </c>
      <c r="D96" s="65">
        <f>$M$11</f>
        <v>1.6786340778985713</v>
      </c>
      <c r="E96" s="65">
        <f>$M$13</f>
        <v>1.1471413224611062</v>
      </c>
      <c r="F96" s="65">
        <f>$M$14</f>
        <v>6.116535719514971</v>
      </c>
      <c r="G96" s="65">
        <f>$M$17</f>
        <v>4.2897911473687591</v>
      </c>
      <c r="H96" s="65">
        <f>$M$18</f>
        <v>3.1160724102754438</v>
      </c>
      <c r="I96" s="65">
        <f>$M$22</f>
        <v>5.4529880739756509</v>
      </c>
      <c r="J96" s="65">
        <f>$M$24</f>
        <v>4.673443701586236</v>
      </c>
      <c r="K96" s="65">
        <f>$M$26</f>
        <v>5.167492425205114</v>
      </c>
      <c r="L96" s="65">
        <f>$M$30</f>
        <v>7.0767017381823347</v>
      </c>
      <c r="M96" s="65">
        <f>$M$35</f>
        <v>7.2112045571355203</v>
      </c>
      <c r="N96" s="65">
        <f>$M$37</f>
        <v>4.2358416376674901</v>
      </c>
      <c r="O96" s="65">
        <f>$M$39</f>
        <v>6.8801017781785427</v>
      </c>
      <c r="P96" s="65">
        <f>$M$40</f>
        <v>6.0260155834388813</v>
      </c>
      <c r="Q96" s="65">
        <f>$M$44</f>
        <v>4.4436997982249977</v>
      </c>
      <c r="R96" s="65">
        <f>$M$46</f>
        <v>6.1101481973559606</v>
      </c>
      <c r="S96" s="65">
        <f>$M$47</f>
        <v>6.9314692836149945</v>
      </c>
      <c r="T96" s="65">
        <f>$M$48</f>
        <v>4.4006605445808482</v>
      </c>
      <c r="U96" s="65">
        <f>$M$49</f>
        <v>3.3862659844549361</v>
      </c>
      <c r="V96" s="65">
        <f>$M$53</f>
        <v>5.7089862084375129</v>
      </c>
      <c r="W96" s="65">
        <f>$M$54</f>
        <v>7.1858214363720121</v>
      </c>
      <c r="X96" s="65">
        <f>$M$56</f>
        <v>4.1915563319791627</v>
      </c>
      <c r="Y96" s="65">
        <f>$M$57</f>
        <v>5.6298846302885748</v>
      </c>
      <c r="Z96" s="65">
        <f>$M$61</f>
        <v>1.8652777857335525</v>
      </c>
      <c r="AA96" s="65">
        <f>$M$63</f>
        <v>3.8589721242916943</v>
      </c>
      <c r="AB96" s="65">
        <f>$M$68</f>
        <v>2.0343660410229059</v>
      </c>
      <c r="AC96" s="65">
        <f>$M$77</f>
        <v>2.9397758124029387</v>
      </c>
      <c r="AD96" s="65">
        <f>$M$78</f>
        <v>3.6667620805397525</v>
      </c>
      <c r="AE96" s="65">
        <f>$M$80</f>
        <v>4.1255536783863382</v>
      </c>
      <c r="AF96" s="65">
        <f>$M$81</f>
        <v>3.2657342656929287</v>
      </c>
      <c r="AG96" s="65">
        <f>$M$82</f>
        <v>3.703235009338556</v>
      </c>
    </row>
    <row r="97" spans="2:33" ht="23.25" customHeight="1">
      <c r="B97" s="64" t="str">
        <f>P4</f>
        <v>Losses per adult: 2024/25</v>
      </c>
      <c r="C97" s="65">
        <f>$P$8</f>
        <v>574.77878949815363</v>
      </c>
      <c r="D97" s="65">
        <f>$P$11</f>
        <v>151.61852138031117</v>
      </c>
      <c r="E97" s="65">
        <f>$P$13</f>
        <v>137.25518527232322</v>
      </c>
      <c r="F97" s="65">
        <f>$P$14</f>
        <v>1128.9454926934757</v>
      </c>
      <c r="G97" s="65">
        <f>$P$17</f>
        <v>418.11045497549628</v>
      </c>
      <c r="H97" s="65">
        <f>$P$18</f>
        <v>568.48501338650385</v>
      </c>
      <c r="I97" s="65">
        <f>$P$22</f>
        <v>636.76071860486809</v>
      </c>
      <c r="J97" s="65">
        <f>$P$24</f>
        <v>614.49015845498627</v>
      </c>
      <c r="K97" s="65">
        <f>$P$26</f>
        <v>592.31889878772154</v>
      </c>
      <c r="L97" s="65">
        <f>$P$30</f>
        <v>1076.5688863579437</v>
      </c>
      <c r="M97" s="65">
        <f>$P$35</f>
        <v>676.76104722981131</v>
      </c>
      <c r="N97" s="65">
        <f>$P$37</f>
        <v>752.12867014522294</v>
      </c>
      <c r="O97" s="65">
        <f>$P$39</f>
        <v>684.78407993611393</v>
      </c>
      <c r="P97" s="65">
        <f>$P$40</f>
        <v>619.3086498926649</v>
      </c>
      <c r="Q97" s="65">
        <f>$P$44</f>
        <v>568.70513079250634</v>
      </c>
      <c r="R97" s="65">
        <f>$P$46</f>
        <v>887.76163931656674</v>
      </c>
      <c r="S97" s="65">
        <f>$P$47</f>
        <v>695.32119522042251</v>
      </c>
      <c r="T97" s="65">
        <f>$P$48</f>
        <v>579.00090640202382</v>
      </c>
      <c r="U97" s="65">
        <f>$P$49</f>
        <v>619.62611123777231</v>
      </c>
      <c r="V97" s="65">
        <f>$P$53</f>
        <v>753.50247973815999</v>
      </c>
      <c r="W97" s="65">
        <f>$P$54</f>
        <v>834.14154070514383</v>
      </c>
      <c r="X97" s="65">
        <f>$P$56</f>
        <v>424.01701892648055</v>
      </c>
      <c r="Y97" s="65">
        <f>$P$57</f>
        <v>649.30273949276614</v>
      </c>
      <c r="Z97" s="65">
        <f>$P$61</f>
        <v>207.57044214289027</v>
      </c>
      <c r="AA97" s="65">
        <f>$P$63</f>
        <v>311.98158907213826</v>
      </c>
      <c r="AB97" s="65">
        <f>$P$68</f>
        <v>197.67592638206889</v>
      </c>
      <c r="AC97" s="65">
        <f>$P$77</f>
        <v>430.34077861761489</v>
      </c>
      <c r="AD97" s="65">
        <f>$P$78</f>
        <v>766.63982182053098</v>
      </c>
      <c r="AE97" s="65">
        <f>$P$80</f>
        <v>561.19989554325832</v>
      </c>
      <c r="AF97" s="65">
        <f>$P$81</f>
        <v>358.69311007607365</v>
      </c>
      <c r="AG97" s="65">
        <f>$P$82</f>
        <v>247.3862375405333</v>
      </c>
    </row>
    <row r="98" spans="2:33" ht="21">
      <c r="B98" s="64" t="str">
        <f>R4</f>
        <v>Per cent change in losses: 
 2023/24 to 2024/25</v>
      </c>
      <c r="C98" s="65">
        <f>$R$8</f>
        <v>0.72257550138868776</v>
      </c>
      <c r="D98" s="65">
        <f>$R$11</f>
        <v>0.6789131295485028</v>
      </c>
      <c r="E98" s="65">
        <f>$R$13</f>
        <v>2.4367974787940905</v>
      </c>
      <c r="F98" s="65">
        <f>$R$14</f>
        <v>2.4640602206453233</v>
      </c>
      <c r="G98" s="65">
        <f>$R$17</f>
        <v>7.1743325296208447</v>
      </c>
      <c r="H98" s="65">
        <f>$R$18</f>
        <v>5.1308887462122286</v>
      </c>
      <c r="I98" s="65">
        <f>$R$22</f>
        <v>-1.3913905127453039</v>
      </c>
      <c r="J98" s="65">
        <f>$R$24</f>
        <v>3.7172156289223914</v>
      </c>
      <c r="K98" s="65">
        <f>$R$26</f>
        <v>4.1525720323303688</v>
      </c>
      <c r="L98" s="65">
        <f>$R$30</f>
        <v>2.357972933411224</v>
      </c>
      <c r="M98" s="65">
        <f>$R$35</f>
        <v>6.9731712471513578</v>
      </c>
      <c r="N98" s="65">
        <f>$R$37</f>
        <v>7.1684787396567513</v>
      </c>
      <c r="O98" s="65">
        <f>$R$39</f>
        <v>3.5679100504005135</v>
      </c>
      <c r="P98" s="65">
        <f>$R$40</f>
        <v>3.41192005089228</v>
      </c>
      <c r="Q98" s="65">
        <f>$R$44</f>
        <v>1.8601884388182337</v>
      </c>
      <c r="R98" s="65">
        <f>$R$46</f>
        <v>3.2901041347447966</v>
      </c>
      <c r="S98" s="65">
        <f>$R$47</f>
        <v>0.36285455074781264</v>
      </c>
      <c r="T98" s="65">
        <f>$R$48</f>
        <v>3.8600530596342852</v>
      </c>
      <c r="U98" s="65">
        <f>$R$49</f>
        <v>6.0128369557995551</v>
      </c>
      <c r="V98" s="65">
        <f>$R$53</f>
        <v>3.8118916160202514</v>
      </c>
      <c r="W98" s="65">
        <f>$R$54</f>
        <v>1.3608067115734701</v>
      </c>
      <c r="X98" s="65">
        <f>$R$56</f>
        <v>5.2124069550967942</v>
      </c>
      <c r="Y98" s="65">
        <f>$R$57</f>
        <v>0.46723534318856119</v>
      </c>
      <c r="Z98" s="65">
        <f>$R$61</f>
        <v>6.8998975330002503</v>
      </c>
      <c r="AA98" s="65">
        <f>$R$63</f>
        <v>3.518939231751435</v>
      </c>
      <c r="AB98" s="65">
        <f>$R$68</f>
        <v>-2.3896256673361056</v>
      </c>
      <c r="AC98" s="65">
        <f>$R$77</f>
        <v>5.5034167700175303</v>
      </c>
      <c r="AD98" s="65">
        <f>$R$78</f>
        <v>3.7669632843108696</v>
      </c>
      <c r="AE98" s="65">
        <f>$R$80</f>
        <v>5.705734272509452</v>
      </c>
      <c r="AF98" s="65">
        <f>$R$81</f>
        <v>5.9990119005148452</v>
      </c>
      <c r="AG98" s="65">
        <f>$R$82</f>
        <v>-1.3137992852393259</v>
      </c>
    </row>
    <row r="99" spans="2:33" ht="31.5">
      <c r="B99" s="64" t="str">
        <f>S4</f>
        <v>Per cent change in losses adjusted for inflation: 
 2023/24 to 2024/25</v>
      </c>
      <c r="C99" s="65">
        <f>$S$8</f>
        <v>-1.2747560241345801</v>
      </c>
      <c r="D99" s="65">
        <f>$S$11</f>
        <v>-1.3175525699042852</v>
      </c>
      <c r="E99" s="65">
        <f>$S$13</f>
        <v>0.40547288289733446</v>
      </c>
      <c r="F99" s="65">
        <f>$S$14</f>
        <v>0.43219500380533665</v>
      </c>
      <c r="G99" s="65">
        <f>$S$17</f>
        <v>5.049062479458394</v>
      </c>
      <c r="H99" s="65">
        <f>$S$18</f>
        <v>3.0461402441627077</v>
      </c>
      <c r="I99" s="65">
        <f>$S$22</f>
        <v>-3.3468020323225876</v>
      </c>
      <c r="J99" s="65">
        <f>$S$24</f>
        <v>1.66050030483612</v>
      </c>
      <c r="K99" s="65">
        <f>$S$26</f>
        <v>2.0872235784314874</v>
      </c>
      <c r="L99" s="65">
        <f>$S$30</f>
        <v>0.32821143048239565</v>
      </c>
      <c r="M99" s="65">
        <f>$S$35</f>
        <v>4.8518902309189187</v>
      </c>
      <c r="N99" s="65">
        <f>$S$37</f>
        <v>5.0433247703151274</v>
      </c>
      <c r="O99" s="65">
        <f>$S$39</f>
        <v>1.5141554601659433</v>
      </c>
      <c r="P99" s="65">
        <f>$S$40</f>
        <v>1.3612587467669544</v>
      </c>
      <c r="Q99" s="65">
        <f>$S$44</f>
        <v>-0.15970198348127504</v>
      </c>
      <c r="R99" s="65">
        <f>$S$46</f>
        <v>1.2418584436875637</v>
      </c>
      <c r="S99" s="65">
        <f>$S$47</f>
        <v>-1.62734369813386</v>
      </c>
      <c r="T99" s="65">
        <f>$S$48</f>
        <v>1.8005052652506164</v>
      </c>
      <c r="U99" s="65">
        <f>$S$49</f>
        <v>3.9105993957695442</v>
      </c>
      <c r="V99" s="65">
        <f>$S$53</f>
        <v>1.7532988644277954</v>
      </c>
      <c r="W99" s="65">
        <f>$S$54</f>
        <v>-0.64918095692797373</v>
      </c>
      <c r="X99" s="65">
        <f>$S$56</f>
        <v>3.1260419446558068</v>
      </c>
      <c r="Y99" s="65">
        <f>$S$57</f>
        <v>-1.5250327797641661</v>
      </c>
      <c r="Z99" s="65">
        <f>$S$61</f>
        <v>4.7800695365951631</v>
      </c>
      <c r="AA99" s="65">
        <f>$S$63</f>
        <v>1.4661557342379494</v>
      </c>
      <c r="AB99" s="65">
        <f>$S$68</f>
        <v>-4.325242155519236</v>
      </c>
      <c r="AC99" s="65">
        <f>$S$77</f>
        <v>3.4112810267027429</v>
      </c>
      <c r="AD99" s="65">
        <f>$S$78</f>
        <v>1.7092614628089637</v>
      </c>
      <c r="AE99" s="65">
        <f>$S$80</f>
        <v>3.6095865673888796</v>
      </c>
      <c r="AF99" s="65">
        <f>$S$81</f>
        <v>3.897048491722773</v>
      </c>
      <c r="AG99" s="65">
        <f>$S$82</f>
        <v>-3.2707494410561018</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sheet="1" objects="1" scenarios="1"/>
  <phoneticPr fontId="5" type="noConversion"/>
  <pageMargins left="0.75" right="0.75" top="0.52" bottom="0.46"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4"/>
  <sheetViews>
    <sheetView workbookViewId="0">
      <selection activeCell="J2" sqref="J2"/>
    </sheetView>
  </sheetViews>
  <sheetFormatPr defaultRowHeight="12.5"/>
  <cols>
    <col min="1" max="1" width="35" customWidth="1"/>
    <col min="2" max="2" width="10.36328125" customWidth="1"/>
    <col min="3" max="3" width="16" bestFit="1" customWidth="1"/>
    <col min="4" max="4" width="10.36328125" customWidth="1"/>
    <col min="5" max="5" width="12" style="93" bestFit="1" customWidth="1"/>
    <col min="6" max="7" width="10.36328125" style="93" customWidth="1"/>
    <col min="8" max="8" width="3" customWidth="1"/>
    <col min="9" max="9" width="3.08984375" customWidth="1"/>
    <col min="10" max="10" width="17.7265625" customWidth="1"/>
    <col min="11" max="13" width="13.36328125" customWidth="1"/>
    <col min="14" max="14" width="11.36328125" customWidth="1"/>
    <col min="15" max="15" width="9.81640625" customWidth="1"/>
    <col min="16" max="16" width="9.6328125" customWidth="1"/>
    <col min="17" max="17" width="19" bestFit="1" customWidth="1"/>
    <col min="18" max="19" width="11.08984375" customWidth="1"/>
  </cols>
  <sheetData>
    <row r="1" spans="1:19" ht="29.25" customHeight="1">
      <c r="A1" s="156" t="s">
        <v>562</v>
      </c>
      <c r="B1" s="157"/>
      <c r="C1" s="158"/>
      <c r="D1" s="40"/>
      <c r="E1" s="90"/>
      <c r="F1" s="94"/>
      <c r="G1" s="94"/>
      <c r="H1" s="42"/>
      <c r="I1" s="42"/>
      <c r="J1" s="193" t="s">
        <v>563</v>
      </c>
      <c r="K1" s="193"/>
      <c r="L1" s="193"/>
      <c r="M1" s="193"/>
      <c r="N1" s="193"/>
      <c r="O1" s="193"/>
      <c r="P1" s="193"/>
      <c r="Q1" s="193"/>
    </row>
    <row r="2" spans="1:19" ht="19.5" customHeight="1">
      <c r="A2" s="41"/>
      <c r="B2" s="40"/>
      <c r="C2" s="41"/>
      <c r="D2" s="40"/>
      <c r="E2" s="90"/>
      <c r="F2" s="94"/>
      <c r="G2" s="94"/>
      <c r="H2" s="42"/>
      <c r="I2" s="42"/>
      <c r="J2" s="43" t="s">
        <v>564</v>
      </c>
      <c r="K2" s="40"/>
      <c r="L2" s="44"/>
      <c r="M2" s="44"/>
      <c r="N2" s="44"/>
      <c r="Q2" s="43" t="s">
        <v>593</v>
      </c>
    </row>
    <row r="3" spans="1:19" ht="31.5">
      <c r="A3" s="159" t="s">
        <v>565</v>
      </c>
      <c r="B3" s="160" t="s">
        <v>556</v>
      </c>
      <c r="C3" s="159" t="s">
        <v>566</v>
      </c>
      <c r="D3" s="160" t="s">
        <v>597</v>
      </c>
      <c r="E3" s="161" t="s">
        <v>654</v>
      </c>
      <c r="F3" s="162" t="s">
        <v>655</v>
      </c>
      <c r="G3" s="162"/>
      <c r="J3" s="40"/>
      <c r="K3" s="163" t="s">
        <v>576</v>
      </c>
      <c r="L3" s="163" t="s">
        <v>577</v>
      </c>
      <c r="M3" s="163" t="s">
        <v>589</v>
      </c>
      <c r="N3" s="163" t="s">
        <v>162</v>
      </c>
      <c r="R3" s="45" t="s">
        <v>576</v>
      </c>
      <c r="S3" s="45" t="s">
        <v>589</v>
      </c>
    </row>
    <row r="4" spans="1:19" ht="13">
      <c r="A4" s="38" t="s">
        <v>164</v>
      </c>
      <c r="B4" s="46" t="s">
        <v>548</v>
      </c>
      <c r="C4" s="38" t="s">
        <v>139</v>
      </c>
      <c r="D4" s="46" t="s">
        <v>547</v>
      </c>
      <c r="E4" s="91">
        <v>1999301</v>
      </c>
      <c r="F4" s="95">
        <v>55</v>
      </c>
      <c r="G4" s="95">
        <v>1</v>
      </c>
      <c r="J4" s="120" t="s">
        <v>95</v>
      </c>
      <c r="K4" s="97">
        <f>SUMIF($C$4:$C$497,J4,E$4:E$497)</f>
        <v>2774412</v>
      </c>
      <c r="L4" s="97">
        <f>SUMIF($C$4:$C$497,J4,F$4:F$497)</f>
        <v>58</v>
      </c>
      <c r="M4" s="128">
        <f>K4/1000000</f>
        <v>2.7744119999999999</v>
      </c>
      <c r="N4" s="44">
        <f>SUMIF($C$4:$C$497,J4,G$4:G$497)</f>
        <v>2</v>
      </c>
      <c r="O4" s="123">
        <f>K4/1000000</f>
        <v>2.7744119999999999</v>
      </c>
      <c r="Q4" s="125" t="s">
        <v>4</v>
      </c>
      <c r="R4" s="126"/>
    </row>
    <row r="5" spans="1:19" ht="13">
      <c r="A5" s="39" t="s">
        <v>165</v>
      </c>
      <c r="B5" s="47" t="s">
        <v>548</v>
      </c>
      <c r="C5" s="39" t="s">
        <v>116</v>
      </c>
      <c r="D5" s="47" t="s">
        <v>547</v>
      </c>
      <c r="E5" s="92">
        <v>3510753</v>
      </c>
      <c r="F5" s="96">
        <v>77</v>
      </c>
      <c r="G5" s="96">
        <v>1</v>
      </c>
      <c r="J5" s="120" t="s">
        <v>161</v>
      </c>
      <c r="K5" s="97">
        <f t="shared" ref="K5:K68" si="0">SUMIF($C$4:$C$497,J5,E$4:E$497)</f>
        <v>6245501</v>
      </c>
      <c r="L5" s="97">
        <f t="shared" ref="L5:L68" si="1">SUMIF($C$4:$C$497,J5,F$4:F$497)</f>
        <v>88</v>
      </c>
      <c r="M5" s="128">
        <f t="shared" ref="M5:M68" si="2">K5/1000000</f>
        <v>6.245501</v>
      </c>
      <c r="N5" s="44">
        <f t="shared" ref="N5:N68" si="3">SUMIF($C$4:$C$497,J5,G$4:G$497)</f>
        <v>2</v>
      </c>
      <c r="O5" s="123">
        <f t="shared" ref="O5:O68" si="4">K5/1000000</f>
        <v>6.245501</v>
      </c>
      <c r="Q5" s="125" t="s">
        <v>5</v>
      </c>
      <c r="R5" s="126"/>
    </row>
    <row r="6" spans="1:19">
      <c r="A6" s="39" t="s">
        <v>166</v>
      </c>
      <c r="B6" s="47" t="s">
        <v>548</v>
      </c>
      <c r="C6" s="39" t="s">
        <v>109</v>
      </c>
      <c r="D6" s="47" t="s">
        <v>549</v>
      </c>
      <c r="E6" s="92">
        <v>5318588</v>
      </c>
      <c r="F6" s="96">
        <v>50</v>
      </c>
      <c r="G6" s="96">
        <v>1</v>
      </c>
      <c r="J6" s="120" t="s">
        <v>96</v>
      </c>
      <c r="K6" s="97">
        <f t="shared" si="0"/>
        <v>64360766</v>
      </c>
      <c r="L6" s="97">
        <f t="shared" si="1"/>
        <v>651</v>
      </c>
      <c r="M6" s="128">
        <f t="shared" si="2"/>
        <v>64.360765999999998</v>
      </c>
      <c r="N6" s="44">
        <f t="shared" si="3"/>
        <v>14</v>
      </c>
      <c r="O6" s="123">
        <f t="shared" si="4"/>
        <v>64.360765999999998</v>
      </c>
      <c r="Q6" s="125" t="s">
        <v>6</v>
      </c>
      <c r="R6" s="127">
        <v>43713216.259999998</v>
      </c>
      <c r="S6" s="97">
        <f>R6/1000000</f>
        <v>43.713216259999996</v>
      </c>
    </row>
    <row r="7" spans="1:19">
      <c r="A7" s="39" t="s">
        <v>167</v>
      </c>
      <c r="B7" s="47" t="s">
        <v>548</v>
      </c>
      <c r="C7" s="39" t="s">
        <v>116</v>
      </c>
      <c r="D7" s="47" t="s">
        <v>549</v>
      </c>
      <c r="E7" s="92">
        <v>2273059</v>
      </c>
      <c r="F7" s="96">
        <v>24</v>
      </c>
      <c r="G7" s="96">
        <v>1</v>
      </c>
      <c r="J7" s="120" t="s">
        <v>97</v>
      </c>
      <c r="K7" s="97">
        <f t="shared" si="0"/>
        <v>57169939</v>
      </c>
      <c r="L7" s="97">
        <f t="shared" si="1"/>
        <v>634</v>
      </c>
      <c r="M7" s="128">
        <f t="shared" si="2"/>
        <v>57.169938999999999</v>
      </c>
      <c r="N7" s="44">
        <f t="shared" si="3"/>
        <v>9</v>
      </c>
      <c r="O7" s="123">
        <f t="shared" si="4"/>
        <v>57.169938999999999</v>
      </c>
      <c r="Q7" s="125" t="s">
        <v>7</v>
      </c>
      <c r="R7" s="127">
        <v>42485587.539999999</v>
      </c>
      <c r="S7" s="97">
        <f t="shared" ref="S7:S10" si="5">R7/1000000</f>
        <v>42.485587539999997</v>
      </c>
    </row>
    <row r="8" spans="1:19">
      <c r="A8" s="39" t="s">
        <v>168</v>
      </c>
      <c r="B8" s="47" t="s">
        <v>550</v>
      </c>
      <c r="C8" s="39" t="s">
        <v>28</v>
      </c>
      <c r="D8" s="47" t="s">
        <v>547</v>
      </c>
      <c r="E8" s="92">
        <v>2538774</v>
      </c>
      <c r="F8" s="96">
        <v>35</v>
      </c>
      <c r="G8" s="96">
        <v>1</v>
      </c>
      <c r="J8" s="120" t="s">
        <v>98</v>
      </c>
      <c r="K8" s="97">
        <f t="shared" si="0"/>
        <v>19745741</v>
      </c>
      <c r="L8" s="97">
        <f t="shared" si="1"/>
        <v>213</v>
      </c>
      <c r="M8" s="128">
        <f t="shared" si="2"/>
        <v>19.745740999999999</v>
      </c>
      <c r="N8" s="44">
        <f t="shared" si="3"/>
        <v>5</v>
      </c>
      <c r="O8" s="123">
        <f t="shared" si="4"/>
        <v>19.745740999999999</v>
      </c>
      <c r="Q8" s="125" t="s">
        <v>8</v>
      </c>
      <c r="R8" s="127">
        <v>13044199.82</v>
      </c>
      <c r="S8" s="97">
        <f t="shared" si="5"/>
        <v>13.044199820000001</v>
      </c>
    </row>
    <row r="9" spans="1:19">
      <c r="A9" s="39" t="s">
        <v>169</v>
      </c>
      <c r="B9" s="47" t="s">
        <v>550</v>
      </c>
      <c r="C9" s="39" t="s">
        <v>115</v>
      </c>
      <c r="D9" s="47" t="s">
        <v>549</v>
      </c>
      <c r="E9" s="92">
        <v>13632007</v>
      </c>
      <c r="F9" s="96">
        <v>100</v>
      </c>
      <c r="G9" s="96">
        <v>1</v>
      </c>
      <c r="J9" s="120" t="s">
        <v>99</v>
      </c>
      <c r="K9" s="97">
        <f t="shared" si="0"/>
        <v>19841779</v>
      </c>
      <c r="L9" s="97">
        <f t="shared" si="1"/>
        <v>238</v>
      </c>
      <c r="M9" s="128">
        <f t="shared" si="2"/>
        <v>19.841778999999999</v>
      </c>
      <c r="N9" s="44">
        <f t="shared" si="3"/>
        <v>4</v>
      </c>
      <c r="O9" s="123">
        <f t="shared" si="4"/>
        <v>19.841778999999999</v>
      </c>
      <c r="Q9" s="125" t="s">
        <v>9</v>
      </c>
      <c r="R9" s="127">
        <v>12615876.949999999</v>
      </c>
      <c r="S9" s="97">
        <f t="shared" si="5"/>
        <v>12.615876949999999</v>
      </c>
    </row>
    <row r="10" spans="1:19">
      <c r="A10" s="39" t="s">
        <v>170</v>
      </c>
      <c r="B10" s="47" t="s">
        <v>548</v>
      </c>
      <c r="C10" s="39" t="s">
        <v>120</v>
      </c>
      <c r="D10" s="47" t="s">
        <v>547</v>
      </c>
      <c r="E10" s="92">
        <v>1763806</v>
      </c>
      <c r="F10" s="96">
        <v>37</v>
      </c>
      <c r="G10" s="96">
        <v>1</v>
      </c>
      <c r="J10" s="120" t="s">
        <v>100</v>
      </c>
      <c r="K10" s="97">
        <f t="shared" si="0"/>
        <v>13886353</v>
      </c>
      <c r="L10" s="97">
        <f t="shared" si="1"/>
        <v>204</v>
      </c>
      <c r="M10" s="128">
        <f t="shared" si="2"/>
        <v>13.886353</v>
      </c>
      <c r="N10" s="44">
        <f t="shared" si="3"/>
        <v>6</v>
      </c>
      <c r="O10" s="123">
        <f t="shared" si="4"/>
        <v>13.886353</v>
      </c>
      <c r="Q10" s="125" t="s">
        <v>10</v>
      </c>
      <c r="R10" s="127">
        <v>10227125.75</v>
      </c>
      <c r="S10" s="97">
        <f t="shared" si="5"/>
        <v>10.227125750000001</v>
      </c>
    </row>
    <row r="11" spans="1:19" ht="13">
      <c r="A11" s="39" t="s">
        <v>598</v>
      </c>
      <c r="B11" s="47" t="s">
        <v>548</v>
      </c>
      <c r="C11" s="39" t="s">
        <v>120</v>
      </c>
      <c r="D11" s="47" t="s">
        <v>547</v>
      </c>
      <c r="E11" s="92">
        <v>3779808</v>
      </c>
      <c r="F11" s="96">
        <v>58</v>
      </c>
      <c r="G11" s="96">
        <v>1</v>
      </c>
      <c r="J11" s="120" t="s">
        <v>101</v>
      </c>
      <c r="K11" s="97">
        <f t="shared" si="0"/>
        <v>6844034</v>
      </c>
      <c r="L11" s="97">
        <f t="shared" si="1"/>
        <v>105</v>
      </c>
      <c r="M11" s="128">
        <f t="shared" si="2"/>
        <v>6.8440339999999997</v>
      </c>
      <c r="N11" s="44">
        <f t="shared" si="3"/>
        <v>3</v>
      </c>
      <c r="O11" s="123">
        <f t="shared" si="4"/>
        <v>6.8440339999999997</v>
      </c>
      <c r="Q11" s="125" t="s">
        <v>11</v>
      </c>
      <c r="R11" s="126"/>
      <c r="S11" s="97"/>
    </row>
    <row r="12" spans="1:19">
      <c r="A12" s="39" t="s">
        <v>171</v>
      </c>
      <c r="B12" s="47" t="s">
        <v>548</v>
      </c>
      <c r="C12" s="39" t="s">
        <v>120</v>
      </c>
      <c r="D12" s="47" t="s">
        <v>547</v>
      </c>
      <c r="E12" s="92">
        <v>4476331</v>
      </c>
      <c r="F12" s="96">
        <v>83</v>
      </c>
      <c r="G12" s="96">
        <v>1</v>
      </c>
      <c r="J12" s="120" t="s">
        <v>102</v>
      </c>
      <c r="K12" s="97">
        <f t="shared" si="0"/>
        <v>18797009</v>
      </c>
      <c r="L12" s="97">
        <f t="shared" si="1"/>
        <v>162</v>
      </c>
      <c r="M12" s="128">
        <f t="shared" si="2"/>
        <v>18.797008999999999</v>
      </c>
      <c r="N12" s="44">
        <f t="shared" si="3"/>
        <v>4</v>
      </c>
      <c r="O12" s="123">
        <f t="shared" si="4"/>
        <v>18.797008999999999</v>
      </c>
      <c r="Q12" s="125" t="s">
        <v>12</v>
      </c>
      <c r="R12" s="127">
        <v>13839655.640000001</v>
      </c>
      <c r="S12" s="97">
        <f t="shared" ref="S12:S14" si="6">R12/1000000</f>
        <v>13.83965564</v>
      </c>
    </row>
    <row r="13" spans="1:19">
      <c r="A13" s="39" t="s">
        <v>172</v>
      </c>
      <c r="B13" s="47" t="s">
        <v>550</v>
      </c>
      <c r="C13" s="39" t="s">
        <v>105</v>
      </c>
      <c r="D13" s="47" t="s">
        <v>549</v>
      </c>
      <c r="E13" s="92">
        <v>1548696</v>
      </c>
      <c r="F13" s="96">
        <v>42</v>
      </c>
      <c r="G13" s="96">
        <v>1</v>
      </c>
      <c r="J13" s="120" t="s">
        <v>103</v>
      </c>
      <c r="K13" s="97">
        <f t="shared" si="0"/>
        <v>172895895</v>
      </c>
      <c r="L13" s="97">
        <f t="shared" si="1"/>
        <v>953</v>
      </c>
      <c r="M13" s="128">
        <f t="shared" si="2"/>
        <v>172.895895</v>
      </c>
      <c r="N13" s="44">
        <f t="shared" si="3"/>
        <v>15</v>
      </c>
      <c r="O13" s="123">
        <f t="shared" si="4"/>
        <v>172.895895</v>
      </c>
      <c r="Q13" s="125" t="s">
        <v>13</v>
      </c>
      <c r="R13" s="127">
        <v>101974223.76000001</v>
      </c>
      <c r="S13" s="97">
        <f t="shared" si="6"/>
        <v>101.97422376</v>
      </c>
    </row>
    <row r="14" spans="1:19">
      <c r="A14" s="39" t="s">
        <v>173</v>
      </c>
      <c r="B14" s="47" t="s">
        <v>548</v>
      </c>
      <c r="C14" s="39" t="s">
        <v>107</v>
      </c>
      <c r="D14" s="47" t="s">
        <v>547</v>
      </c>
      <c r="E14" s="92">
        <v>9471480</v>
      </c>
      <c r="F14" s="96">
        <v>80</v>
      </c>
      <c r="G14" s="96">
        <v>1</v>
      </c>
      <c r="J14" s="120" t="s">
        <v>104</v>
      </c>
      <c r="K14" s="97">
        <f t="shared" si="0"/>
        <v>0</v>
      </c>
      <c r="L14" s="97">
        <f t="shared" si="1"/>
        <v>0</v>
      </c>
      <c r="M14" s="128">
        <f t="shared" si="2"/>
        <v>0</v>
      </c>
      <c r="N14" s="44">
        <f t="shared" si="3"/>
        <v>0</v>
      </c>
      <c r="O14" s="123">
        <f t="shared" si="4"/>
        <v>0</v>
      </c>
      <c r="Q14" s="125" t="s">
        <v>14</v>
      </c>
      <c r="R14" s="127">
        <v>0</v>
      </c>
      <c r="S14" s="97">
        <f t="shared" si="6"/>
        <v>0</v>
      </c>
    </row>
    <row r="15" spans="1:19" ht="13">
      <c r="A15" s="39" t="s">
        <v>174</v>
      </c>
      <c r="B15" s="47" t="s">
        <v>548</v>
      </c>
      <c r="C15" s="39" t="s">
        <v>147</v>
      </c>
      <c r="D15" s="47" t="s">
        <v>549</v>
      </c>
      <c r="E15" s="92">
        <v>1373080</v>
      </c>
      <c r="F15" s="96">
        <v>0</v>
      </c>
      <c r="G15" s="96">
        <v>1</v>
      </c>
      <c r="J15" s="120" t="s">
        <v>105</v>
      </c>
      <c r="K15" s="97">
        <f t="shared" si="0"/>
        <v>10715080</v>
      </c>
      <c r="L15" s="97">
        <f t="shared" si="1"/>
        <v>209</v>
      </c>
      <c r="M15" s="128">
        <f t="shared" si="2"/>
        <v>10.71508</v>
      </c>
      <c r="N15" s="44">
        <f t="shared" si="3"/>
        <v>4</v>
      </c>
      <c r="O15" s="123">
        <f t="shared" si="4"/>
        <v>10.71508</v>
      </c>
      <c r="Q15" s="125" t="s">
        <v>15</v>
      </c>
      <c r="R15" s="126"/>
      <c r="S15" s="97"/>
    </row>
    <row r="16" spans="1:19">
      <c r="A16" s="39" t="s">
        <v>175</v>
      </c>
      <c r="B16" s="47" t="s">
        <v>550</v>
      </c>
      <c r="C16" s="39" t="s">
        <v>148</v>
      </c>
      <c r="D16" s="47" t="s">
        <v>547</v>
      </c>
      <c r="E16" s="92">
        <v>641506</v>
      </c>
      <c r="F16" s="96">
        <v>34</v>
      </c>
      <c r="G16" s="96">
        <v>1</v>
      </c>
      <c r="J16" s="120" t="s">
        <v>106</v>
      </c>
      <c r="K16" s="97">
        <f t="shared" si="0"/>
        <v>35041657</v>
      </c>
      <c r="L16" s="97">
        <f t="shared" si="1"/>
        <v>405</v>
      </c>
      <c r="M16" s="128">
        <f t="shared" si="2"/>
        <v>35.041657000000001</v>
      </c>
      <c r="N16" s="44">
        <f t="shared" si="3"/>
        <v>6</v>
      </c>
      <c r="O16" s="123">
        <f t="shared" si="4"/>
        <v>35.041657000000001</v>
      </c>
      <c r="Q16" s="125" t="s">
        <v>16</v>
      </c>
      <c r="R16" s="127">
        <v>21286227.940000001</v>
      </c>
      <c r="S16" s="97">
        <f t="shared" ref="S16:S17" si="7">R16/1000000</f>
        <v>21.28622794</v>
      </c>
    </row>
    <row r="17" spans="1:19">
      <c r="A17" s="39" t="s">
        <v>599</v>
      </c>
      <c r="B17" s="47" t="s">
        <v>550</v>
      </c>
      <c r="C17" s="39" t="s">
        <v>161</v>
      </c>
      <c r="D17" s="47" t="s">
        <v>547</v>
      </c>
      <c r="E17" s="92">
        <v>5063084</v>
      </c>
      <c r="F17" s="96">
        <v>55</v>
      </c>
      <c r="G17" s="96">
        <v>1</v>
      </c>
      <c r="J17" s="120" t="s">
        <v>107</v>
      </c>
      <c r="K17" s="97">
        <f t="shared" si="0"/>
        <v>159240364</v>
      </c>
      <c r="L17" s="97">
        <f t="shared" si="1"/>
        <v>913</v>
      </c>
      <c r="M17" s="128">
        <f t="shared" si="2"/>
        <v>159.240364</v>
      </c>
      <c r="N17" s="44">
        <f t="shared" si="3"/>
        <v>13</v>
      </c>
      <c r="O17" s="123">
        <f t="shared" si="4"/>
        <v>159.240364</v>
      </c>
      <c r="Q17" s="125" t="s">
        <v>17</v>
      </c>
      <c r="R17" s="127">
        <v>98000778.709999993</v>
      </c>
      <c r="S17" s="97">
        <f t="shared" si="7"/>
        <v>98.000778709999992</v>
      </c>
    </row>
    <row r="18" spans="1:19" ht="13">
      <c r="A18" s="39" t="s">
        <v>176</v>
      </c>
      <c r="B18" s="47" t="s">
        <v>548</v>
      </c>
      <c r="C18" s="39" t="s">
        <v>130</v>
      </c>
      <c r="D18" s="47" t="s">
        <v>549</v>
      </c>
      <c r="E18" s="92">
        <v>11411318</v>
      </c>
      <c r="F18" s="96">
        <v>50</v>
      </c>
      <c r="G18" s="96">
        <v>1</v>
      </c>
      <c r="J18" s="120" t="s">
        <v>19</v>
      </c>
      <c r="K18" s="97">
        <f t="shared" si="0"/>
        <v>8535392</v>
      </c>
      <c r="L18" s="97">
        <f t="shared" si="1"/>
        <v>99</v>
      </c>
      <c r="M18" s="128">
        <f t="shared" si="2"/>
        <v>8.5353919999999999</v>
      </c>
      <c r="N18" s="44">
        <f t="shared" si="3"/>
        <v>2</v>
      </c>
      <c r="O18" s="123">
        <f t="shared" si="4"/>
        <v>8.5353919999999999</v>
      </c>
      <c r="Q18" s="125" t="s">
        <v>19</v>
      </c>
      <c r="R18" s="126"/>
      <c r="S18" s="97"/>
    </row>
    <row r="19" spans="1:19" ht="13">
      <c r="A19" s="39" t="s">
        <v>177</v>
      </c>
      <c r="B19" s="47" t="s">
        <v>550</v>
      </c>
      <c r="C19" s="39" t="s">
        <v>108</v>
      </c>
      <c r="D19" s="47" t="s">
        <v>549</v>
      </c>
      <c r="E19" s="92">
        <v>2088932</v>
      </c>
      <c r="F19" s="96">
        <v>23</v>
      </c>
      <c r="G19" s="96">
        <v>1</v>
      </c>
      <c r="J19" s="120" t="s">
        <v>108</v>
      </c>
      <c r="K19" s="97">
        <f t="shared" si="0"/>
        <v>7891465</v>
      </c>
      <c r="L19" s="97">
        <f t="shared" si="1"/>
        <v>109</v>
      </c>
      <c r="M19" s="128">
        <f t="shared" si="2"/>
        <v>7.8914650000000002</v>
      </c>
      <c r="N19" s="44">
        <f t="shared" si="3"/>
        <v>5</v>
      </c>
      <c r="O19" s="123">
        <f t="shared" si="4"/>
        <v>7.8914650000000002</v>
      </c>
      <c r="Q19" s="125" t="s">
        <v>18</v>
      </c>
      <c r="R19" s="126"/>
      <c r="S19" s="97"/>
    </row>
    <row r="20" spans="1:19" ht="13">
      <c r="A20" s="39" t="s">
        <v>178</v>
      </c>
      <c r="B20" s="47" t="s">
        <v>550</v>
      </c>
      <c r="C20" s="39" t="s">
        <v>117</v>
      </c>
      <c r="D20" s="47" t="s">
        <v>547</v>
      </c>
      <c r="E20" s="92">
        <v>3460846</v>
      </c>
      <c r="F20" s="96">
        <v>30</v>
      </c>
      <c r="G20" s="96">
        <v>1</v>
      </c>
      <c r="J20" s="120" t="s">
        <v>20</v>
      </c>
      <c r="K20" s="97">
        <f t="shared" si="0"/>
        <v>3131439</v>
      </c>
      <c r="L20" s="97">
        <f t="shared" si="1"/>
        <v>57</v>
      </c>
      <c r="M20" s="128">
        <f t="shared" si="2"/>
        <v>3.1314389999999999</v>
      </c>
      <c r="N20" s="44">
        <f t="shared" si="3"/>
        <v>2</v>
      </c>
      <c r="O20" s="123">
        <f t="shared" si="4"/>
        <v>3.1314389999999999</v>
      </c>
      <c r="Q20" s="125" t="s">
        <v>34</v>
      </c>
      <c r="R20" s="126"/>
      <c r="S20" s="97"/>
    </row>
    <row r="21" spans="1:19">
      <c r="A21" s="39" t="s">
        <v>179</v>
      </c>
      <c r="B21" s="47" t="s">
        <v>550</v>
      </c>
      <c r="C21" s="39" t="s">
        <v>138</v>
      </c>
      <c r="D21" s="47" t="s">
        <v>547</v>
      </c>
      <c r="E21" s="92">
        <v>1263439</v>
      </c>
      <c r="F21" s="96">
        <v>30</v>
      </c>
      <c r="G21" s="96">
        <v>1</v>
      </c>
      <c r="J21" s="120" t="s">
        <v>109</v>
      </c>
      <c r="K21" s="97">
        <f t="shared" si="0"/>
        <v>85837108</v>
      </c>
      <c r="L21" s="97">
        <f t="shared" si="1"/>
        <v>744</v>
      </c>
      <c r="M21" s="128">
        <f t="shared" si="2"/>
        <v>85.837108000000001</v>
      </c>
      <c r="N21" s="44">
        <f t="shared" si="3"/>
        <v>12</v>
      </c>
      <c r="O21" s="123">
        <f t="shared" si="4"/>
        <v>85.837108000000001</v>
      </c>
      <c r="Q21" s="125" t="s">
        <v>35</v>
      </c>
      <c r="R21" s="127">
        <v>56942296.109999999</v>
      </c>
      <c r="S21" s="97">
        <f t="shared" ref="S21:S23" si="8">R21/1000000</f>
        <v>56.942296110000001</v>
      </c>
    </row>
    <row r="22" spans="1:19">
      <c r="A22" s="39" t="s">
        <v>180</v>
      </c>
      <c r="B22" s="47" t="s">
        <v>550</v>
      </c>
      <c r="C22" s="39" t="s">
        <v>110</v>
      </c>
      <c r="D22" s="47" t="s">
        <v>547</v>
      </c>
      <c r="E22" s="92">
        <v>2270038</v>
      </c>
      <c r="F22" s="96">
        <v>26</v>
      </c>
      <c r="G22" s="96">
        <v>1</v>
      </c>
      <c r="J22" s="120" t="s">
        <v>110</v>
      </c>
      <c r="K22" s="97">
        <f t="shared" si="0"/>
        <v>30590742</v>
      </c>
      <c r="L22" s="97">
        <f t="shared" si="1"/>
        <v>331</v>
      </c>
      <c r="M22" s="128">
        <f t="shared" si="2"/>
        <v>30.590741999999999</v>
      </c>
      <c r="N22" s="44">
        <f t="shared" si="3"/>
        <v>10</v>
      </c>
      <c r="O22" s="123">
        <f t="shared" si="4"/>
        <v>30.590741999999999</v>
      </c>
      <c r="Q22" s="125" t="s">
        <v>36</v>
      </c>
      <c r="R22" s="127">
        <v>19870189.940000001</v>
      </c>
      <c r="S22" s="97">
        <f t="shared" si="8"/>
        <v>19.870189940000003</v>
      </c>
    </row>
    <row r="23" spans="1:19">
      <c r="A23" s="39" t="s">
        <v>181</v>
      </c>
      <c r="B23" s="47" t="s">
        <v>550</v>
      </c>
      <c r="C23" s="39" t="s">
        <v>110</v>
      </c>
      <c r="D23" s="47" t="s">
        <v>547</v>
      </c>
      <c r="E23" s="92">
        <v>1119585</v>
      </c>
      <c r="F23" s="96">
        <v>15</v>
      </c>
      <c r="G23" s="96">
        <v>1</v>
      </c>
      <c r="J23" s="120" t="s">
        <v>111</v>
      </c>
      <c r="K23" s="97">
        <f t="shared" si="0"/>
        <v>67668175</v>
      </c>
      <c r="L23" s="97">
        <f t="shared" si="1"/>
        <v>519</v>
      </c>
      <c r="M23" s="128">
        <f t="shared" si="2"/>
        <v>67.668175000000005</v>
      </c>
      <c r="N23" s="44">
        <f t="shared" si="3"/>
        <v>9</v>
      </c>
      <c r="O23" s="123">
        <f t="shared" si="4"/>
        <v>67.668175000000005</v>
      </c>
      <c r="Q23" s="125" t="s">
        <v>37</v>
      </c>
      <c r="R23" s="127">
        <v>46303077.789999999</v>
      </c>
      <c r="S23" s="97">
        <f t="shared" si="8"/>
        <v>46.303077789999996</v>
      </c>
    </row>
    <row r="24" spans="1:19" ht="13">
      <c r="A24" s="39" t="s">
        <v>600</v>
      </c>
      <c r="B24" s="47" t="s">
        <v>550</v>
      </c>
      <c r="C24" s="39" t="s">
        <v>110</v>
      </c>
      <c r="D24" s="47" t="s">
        <v>547</v>
      </c>
      <c r="E24" s="92">
        <v>6890340</v>
      </c>
      <c r="F24" s="96">
        <v>51</v>
      </c>
      <c r="G24" s="96">
        <v>1</v>
      </c>
      <c r="J24" s="120" t="s">
        <v>21</v>
      </c>
      <c r="K24" s="97">
        <f t="shared" si="0"/>
        <v>2317948</v>
      </c>
      <c r="L24" s="97">
        <f t="shared" si="1"/>
        <v>45</v>
      </c>
      <c r="M24" s="128">
        <f t="shared" si="2"/>
        <v>2.3179479999999999</v>
      </c>
      <c r="N24" s="44">
        <f t="shared" si="3"/>
        <v>1</v>
      </c>
      <c r="O24" s="123">
        <f t="shared" si="4"/>
        <v>2.3179479999999999</v>
      </c>
      <c r="Q24" s="125" t="s">
        <v>38</v>
      </c>
      <c r="R24" s="126"/>
      <c r="S24" s="97"/>
    </row>
    <row r="25" spans="1:19">
      <c r="A25" s="39" t="s">
        <v>590</v>
      </c>
      <c r="B25" s="47" t="s">
        <v>550</v>
      </c>
      <c r="C25" s="39" t="s">
        <v>110</v>
      </c>
      <c r="D25" s="47" t="s">
        <v>547</v>
      </c>
      <c r="E25" s="92">
        <v>3953675</v>
      </c>
      <c r="F25" s="96">
        <v>37</v>
      </c>
      <c r="G25" s="96">
        <v>1</v>
      </c>
      <c r="J25" s="120" t="s">
        <v>112</v>
      </c>
      <c r="K25" s="97">
        <f t="shared" si="0"/>
        <v>70499276</v>
      </c>
      <c r="L25" s="97">
        <f t="shared" si="1"/>
        <v>652</v>
      </c>
      <c r="M25" s="128">
        <f t="shared" si="2"/>
        <v>70.499275999999995</v>
      </c>
      <c r="N25" s="44">
        <f t="shared" si="3"/>
        <v>11</v>
      </c>
      <c r="O25" s="123">
        <f t="shared" si="4"/>
        <v>70.499275999999995</v>
      </c>
      <c r="Q25" s="125" t="s">
        <v>39</v>
      </c>
      <c r="R25" s="127">
        <v>54025303.759999998</v>
      </c>
      <c r="S25" s="97">
        <f>R25/1000000</f>
        <v>54.02530376</v>
      </c>
    </row>
    <row r="26" spans="1:19" ht="13">
      <c r="A26" s="39" t="s">
        <v>182</v>
      </c>
      <c r="B26" s="47" t="s">
        <v>548</v>
      </c>
      <c r="C26" s="39" t="s">
        <v>32</v>
      </c>
      <c r="D26" s="47" t="s">
        <v>549</v>
      </c>
      <c r="E26" s="92">
        <v>5459686</v>
      </c>
      <c r="F26" s="96">
        <v>32</v>
      </c>
      <c r="G26" s="96">
        <v>1</v>
      </c>
      <c r="J26" s="120" t="s">
        <v>113</v>
      </c>
      <c r="K26" s="97">
        <f t="shared" si="0"/>
        <v>8641655</v>
      </c>
      <c r="L26" s="97">
        <f t="shared" si="1"/>
        <v>120</v>
      </c>
      <c r="M26" s="128">
        <f t="shared" si="2"/>
        <v>8.6416550000000001</v>
      </c>
      <c r="N26" s="44">
        <f t="shared" si="3"/>
        <v>4</v>
      </c>
      <c r="O26" s="123">
        <f t="shared" si="4"/>
        <v>8.6416550000000001</v>
      </c>
      <c r="Q26" s="125" t="s">
        <v>40</v>
      </c>
      <c r="R26" s="126"/>
      <c r="S26" s="97"/>
    </row>
    <row r="27" spans="1:19">
      <c r="A27" s="39" t="s">
        <v>183</v>
      </c>
      <c r="B27" s="47" t="s">
        <v>548</v>
      </c>
      <c r="C27" s="39" t="s">
        <v>144</v>
      </c>
      <c r="D27" s="47" t="s">
        <v>549</v>
      </c>
      <c r="E27" s="92">
        <v>5793659</v>
      </c>
      <c r="F27" s="96">
        <v>45</v>
      </c>
      <c r="G27" s="96">
        <v>1</v>
      </c>
      <c r="J27" s="120" t="s">
        <v>114</v>
      </c>
      <c r="K27" s="97">
        <f t="shared" si="0"/>
        <v>0</v>
      </c>
      <c r="L27" s="97">
        <f t="shared" si="1"/>
        <v>0</v>
      </c>
      <c r="M27" s="128">
        <f t="shared" si="2"/>
        <v>0</v>
      </c>
      <c r="N27" s="44">
        <f t="shared" si="3"/>
        <v>0</v>
      </c>
      <c r="O27" s="123">
        <f t="shared" si="4"/>
        <v>0</v>
      </c>
      <c r="Q27" s="125" t="s">
        <v>41</v>
      </c>
      <c r="R27" s="127">
        <v>0</v>
      </c>
      <c r="S27" s="97">
        <f t="shared" ref="S27:S29" si="9">R27/1000000</f>
        <v>0</v>
      </c>
    </row>
    <row r="28" spans="1:19">
      <c r="A28" s="39" t="s">
        <v>601</v>
      </c>
      <c r="B28" s="47" t="s">
        <v>550</v>
      </c>
      <c r="C28" s="39" t="s">
        <v>96</v>
      </c>
      <c r="D28" s="47" t="s">
        <v>549</v>
      </c>
      <c r="E28" s="92">
        <v>14202393</v>
      </c>
      <c r="F28" s="96">
        <v>105</v>
      </c>
      <c r="G28" s="96">
        <v>1</v>
      </c>
      <c r="J28" s="120" t="s">
        <v>115</v>
      </c>
      <c r="K28" s="97">
        <f t="shared" si="0"/>
        <v>59081307</v>
      </c>
      <c r="L28" s="97">
        <f t="shared" si="1"/>
        <v>662</v>
      </c>
      <c r="M28" s="128">
        <f t="shared" si="2"/>
        <v>59.081307000000002</v>
      </c>
      <c r="N28" s="44">
        <f t="shared" si="3"/>
        <v>11</v>
      </c>
      <c r="O28" s="123">
        <f t="shared" si="4"/>
        <v>59.081307000000002</v>
      </c>
      <c r="Q28" s="125" t="s">
        <v>42</v>
      </c>
      <c r="R28" s="127">
        <v>37393438.340000004</v>
      </c>
      <c r="S28" s="97">
        <f t="shared" si="9"/>
        <v>37.393438340000003</v>
      </c>
    </row>
    <row r="29" spans="1:19">
      <c r="A29" s="39" t="s">
        <v>186</v>
      </c>
      <c r="B29" s="47" t="s">
        <v>550</v>
      </c>
      <c r="C29" s="39" t="s">
        <v>96</v>
      </c>
      <c r="D29" s="47" t="s">
        <v>547</v>
      </c>
      <c r="E29" s="92">
        <v>5577151</v>
      </c>
      <c r="F29" s="96">
        <v>50</v>
      </c>
      <c r="G29" s="96">
        <v>1</v>
      </c>
      <c r="J29" s="120" t="s">
        <v>116</v>
      </c>
      <c r="K29" s="97">
        <f t="shared" si="0"/>
        <v>137397857</v>
      </c>
      <c r="L29" s="97">
        <f t="shared" si="1"/>
        <v>928</v>
      </c>
      <c r="M29" s="128">
        <f t="shared" si="2"/>
        <v>137.39785699999999</v>
      </c>
      <c r="N29" s="44">
        <f t="shared" si="3"/>
        <v>15</v>
      </c>
      <c r="O29" s="123">
        <f t="shared" si="4"/>
        <v>137.39785699999999</v>
      </c>
      <c r="Q29" s="125" t="s">
        <v>43</v>
      </c>
      <c r="R29" s="127">
        <v>87430092.379999995</v>
      </c>
      <c r="S29" s="97">
        <f t="shared" si="9"/>
        <v>87.430092379999991</v>
      </c>
    </row>
    <row r="30" spans="1:19" ht="13">
      <c r="A30" s="39" t="s">
        <v>184</v>
      </c>
      <c r="B30" s="47" t="s">
        <v>550</v>
      </c>
      <c r="C30" s="39" t="s">
        <v>96</v>
      </c>
      <c r="D30" s="47" t="s">
        <v>547</v>
      </c>
      <c r="E30" s="92">
        <v>2919234</v>
      </c>
      <c r="F30" s="96">
        <v>31</v>
      </c>
      <c r="G30" s="96">
        <v>1</v>
      </c>
      <c r="J30" s="120" t="s">
        <v>117</v>
      </c>
      <c r="K30" s="97">
        <f t="shared" si="0"/>
        <v>134132431</v>
      </c>
      <c r="L30" s="97">
        <f t="shared" si="1"/>
        <v>1338</v>
      </c>
      <c r="M30" s="128">
        <f t="shared" si="2"/>
        <v>134.132431</v>
      </c>
      <c r="N30" s="44">
        <f t="shared" si="3"/>
        <v>25</v>
      </c>
      <c r="O30" s="123">
        <f t="shared" si="4"/>
        <v>134.132431</v>
      </c>
      <c r="Q30" s="125" t="s">
        <v>44</v>
      </c>
      <c r="R30" s="126"/>
      <c r="S30" s="97"/>
    </row>
    <row r="31" spans="1:19">
      <c r="A31" s="39" t="s">
        <v>185</v>
      </c>
      <c r="B31" s="47" t="s">
        <v>550</v>
      </c>
      <c r="C31" s="39" t="s">
        <v>96</v>
      </c>
      <c r="D31" s="47" t="s">
        <v>547</v>
      </c>
      <c r="E31" s="92">
        <v>3155860</v>
      </c>
      <c r="F31" s="96">
        <v>54</v>
      </c>
      <c r="G31" s="96">
        <v>1</v>
      </c>
      <c r="J31" s="120" t="s">
        <v>118</v>
      </c>
      <c r="K31" s="97">
        <f t="shared" si="0"/>
        <v>42728659</v>
      </c>
      <c r="L31" s="97">
        <f t="shared" si="1"/>
        <v>329</v>
      </c>
      <c r="M31" s="128">
        <f t="shared" si="2"/>
        <v>42.728659</v>
      </c>
      <c r="N31" s="44">
        <f t="shared" si="3"/>
        <v>8</v>
      </c>
      <c r="O31" s="123">
        <f t="shared" si="4"/>
        <v>42.728659</v>
      </c>
      <c r="Q31" s="125" t="s">
        <v>45</v>
      </c>
      <c r="R31" s="127">
        <v>24979550.940000001</v>
      </c>
      <c r="S31" s="97">
        <f>R31/1000000</f>
        <v>24.979550940000003</v>
      </c>
    </row>
    <row r="32" spans="1:19" ht="13">
      <c r="A32" s="39" t="s">
        <v>187</v>
      </c>
      <c r="B32" s="47" t="s">
        <v>548</v>
      </c>
      <c r="C32" s="39" t="s">
        <v>132</v>
      </c>
      <c r="D32" s="47" t="s">
        <v>549</v>
      </c>
      <c r="E32" s="92">
        <v>1318118</v>
      </c>
      <c r="F32" s="96">
        <v>0</v>
      </c>
      <c r="G32" s="96">
        <v>1</v>
      </c>
      <c r="J32" s="120" t="s">
        <v>22</v>
      </c>
      <c r="K32" s="97">
        <f t="shared" si="0"/>
        <v>3471730</v>
      </c>
      <c r="L32" s="97">
        <f t="shared" si="1"/>
        <v>57</v>
      </c>
      <c r="M32" s="128">
        <f t="shared" si="2"/>
        <v>3.47173</v>
      </c>
      <c r="N32" s="44">
        <f t="shared" si="3"/>
        <v>2</v>
      </c>
      <c r="O32" s="123">
        <f t="shared" si="4"/>
        <v>3.47173</v>
      </c>
      <c r="Q32" s="125" t="s">
        <v>46</v>
      </c>
      <c r="R32" s="126"/>
      <c r="S32" s="97"/>
    </row>
    <row r="33" spans="1:19">
      <c r="A33" s="39" t="s">
        <v>188</v>
      </c>
      <c r="B33" s="47" t="s">
        <v>548</v>
      </c>
      <c r="C33" s="39" t="s">
        <v>140</v>
      </c>
      <c r="D33" s="47" t="s">
        <v>549</v>
      </c>
      <c r="E33" s="92">
        <v>7675024</v>
      </c>
      <c r="F33" s="96">
        <v>45</v>
      </c>
      <c r="G33" s="96">
        <v>1</v>
      </c>
      <c r="J33" s="120" t="s">
        <v>119</v>
      </c>
      <c r="K33" s="97">
        <f t="shared" si="0"/>
        <v>0</v>
      </c>
      <c r="L33" s="97">
        <f t="shared" si="1"/>
        <v>0</v>
      </c>
      <c r="M33" s="128">
        <f t="shared" si="2"/>
        <v>0</v>
      </c>
      <c r="N33" s="44">
        <f t="shared" si="3"/>
        <v>0</v>
      </c>
      <c r="O33" s="123">
        <f t="shared" si="4"/>
        <v>0</v>
      </c>
      <c r="Q33" s="125" t="s">
        <v>47</v>
      </c>
      <c r="R33" s="127">
        <v>0</v>
      </c>
      <c r="S33" s="97">
        <f t="shared" ref="S33:S43" si="10">R33/1000000</f>
        <v>0</v>
      </c>
    </row>
    <row r="34" spans="1:19">
      <c r="A34" s="39" t="s">
        <v>189</v>
      </c>
      <c r="B34" s="47" t="s">
        <v>548</v>
      </c>
      <c r="C34" s="39" t="s">
        <v>125</v>
      </c>
      <c r="D34" s="47" t="s">
        <v>549</v>
      </c>
      <c r="E34" s="92">
        <v>11289648</v>
      </c>
      <c r="F34" s="96">
        <v>80</v>
      </c>
      <c r="G34" s="96">
        <v>1</v>
      </c>
      <c r="J34" s="120" t="s">
        <v>120</v>
      </c>
      <c r="K34" s="97">
        <f t="shared" si="0"/>
        <v>47950389</v>
      </c>
      <c r="L34" s="97">
        <f t="shared" si="1"/>
        <v>535</v>
      </c>
      <c r="M34" s="128">
        <f t="shared" si="2"/>
        <v>47.950389000000001</v>
      </c>
      <c r="N34" s="44">
        <f t="shared" si="3"/>
        <v>9</v>
      </c>
      <c r="O34" s="123">
        <f t="shared" si="4"/>
        <v>47.950389000000001</v>
      </c>
      <c r="Q34" s="125" t="s">
        <v>48</v>
      </c>
      <c r="R34" s="127">
        <v>34611658.770000003</v>
      </c>
      <c r="S34" s="97">
        <f t="shared" si="10"/>
        <v>34.611658770000005</v>
      </c>
    </row>
    <row r="35" spans="1:19">
      <c r="A35" s="39" t="s">
        <v>191</v>
      </c>
      <c r="B35" s="47" t="s">
        <v>550</v>
      </c>
      <c r="C35" s="39" t="s">
        <v>117</v>
      </c>
      <c r="D35" s="47" t="s">
        <v>547</v>
      </c>
      <c r="E35" s="92">
        <v>581163</v>
      </c>
      <c r="F35" s="96">
        <v>28</v>
      </c>
      <c r="G35" s="96">
        <v>1</v>
      </c>
      <c r="J35" s="120" t="s">
        <v>121</v>
      </c>
      <c r="K35" s="97">
        <f t="shared" si="0"/>
        <v>11664955</v>
      </c>
      <c r="L35" s="97">
        <f t="shared" si="1"/>
        <v>153</v>
      </c>
      <c r="M35" s="128">
        <f t="shared" si="2"/>
        <v>11.664955000000001</v>
      </c>
      <c r="N35" s="44">
        <f t="shared" si="3"/>
        <v>3</v>
      </c>
      <c r="O35" s="123">
        <f t="shared" si="4"/>
        <v>11.664955000000001</v>
      </c>
      <c r="Q35" s="125" t="s">
        <v>49</v>
      </c>
      <c r="R35" s="127">
        <v>7232445.1399999997</v>
      </c>
      <c r="S35" s="97">
        <f t="shared" si="10"/>
        <v>7.2324451399999994</v>
      </c>
    </row>
    <row r="36" spans="1:19">
      <c r="A36" s="39" t="s">
        <v>190</v>
      </c>
      <c r="B36" s="47" t="s">
        <v>548</v>
      </c>
      <c r="C36" s="39" t="s">
        <v>144</v>
      </c>
      <c r="D36" s="47" t="s">
        <v>549</v>
      </c>
      <c r="E36" s="92">
        <v>3072373</v>
      </c>
      <c r="F36" s="96">
        <v>40</v>
      </c>
      <c r="G36" s="96">
        <v>1</v>
      </c>
      <c r="J36" s="120" t="s">
        <v>122</v>
      </c>
      <c r="K36" s="97">
        <f t="shared" si="0"/>
        <v>139030852</v>
      </c>
      <c r="L36" s="97">
        <f t="shared" si="1"/>
        <v>833</v>
      </c>
      <c r="M36" s="128">
        <f t="shared" si="2"/>
        <v>139.03085200000001</v>
      </c>
      <c r="N36" s="44">
        <f t="shared" si="3"/>
        <v>14</v>
      </c>
      <c r="O36" s="123">
        <f t="shared" si="4"/>
        <v>139.03085200000001</v>
      </c>
      <c r="Q36" s="125" t="s">
        <v>50</v>
      </c>
      <c r="R36" s="127">
        <v>85935114.719999999</v>
      </c>
      <c r="S36" s="97">
        <f t="shared" si="10"/>
        <v>85.935114720000001</v>
      </c>
    </row>
    <row r="37" spans="1:19">
      <c r="A37" s="39" t="s">
        <v>192</v>
      </c>
      <c r="B37" s="47" t="s">
        <v>550</v>
      </c>
      <c r="C37" s="39" t="s">
        <v>101</v>
      </c>
      <c r="D37" s="47" t="s">
        <v>547</v>
      </c>
      <c r="E37" s="92">
        <v>2848007</v>
      </c>
      <c r="F37" s="96">
        <v>50</v>
      </c>
      <c r="G37" s="96">
        <v>1</v>
      </c>
      <c r="J37" s="120" t="s">
        <v>123</v>
      </c>
      <c r="K37" s="97">
        <f t="shared" si="0"/>
        <v>0</v>
      </c>
      <c r="L37" s="97">
        <f t="shared" si="1"/>
        <v>0</v>
      </c>
      <c r="M37" s="128">
        <f t="shared" si="2"/>
        <v>0</v>
      </c>
      <c r="N37" s="44">
        <f t="shared" si="3"/>
        <v>0</v>
      </c>
      <c r="O37" s="123">
        <f t="shared" si="4"/>
        <v>0</v>
      </c>
      <c r="Q37" s="125" t="s">
        <v>51</v>
      </c>
      <c r="R37" s="127">
        <v>0</v>
      </c>
      <c r="S37" s="97">
        <f t="shared" si="10"/>
        <v>0</v>
      </c>
    </row>
    <row r="38" spans="1:19">
      <c r="A38" s="39" t="s">
        <v>193</v>
      </c>
      <c r="B38" s="47" t="s">
        <v>550</v>
      </c>
      <c r="C38" s="39" t="s">
        <v>101</v>
      </c>
      <c r="D38" s="47" t="s">
        <v>547</v>
      </c>
      <c r="E38" s="92">
        <v>1005344</v>
      </c>
      <c r="F38" s="96">
        <v>25</v>
      </c>
      <c r="G38" s="96">
        <v>1</v>
      </c>
      <c r="J38" s="120" t="s">
        <v>124</v>
      </c>
      <c r="K38" s="97">
        <f t="shared" si="0"/>
        <v>86005190</v>
      </c>
      <c r="L38" s="97">
        <f t="shared" si="1"/>
        <v>918</v>
      </c>
      <c r="M38" s="128">
        <f t="shared" si="2"/>
        <v>86.005189999999999</v>
      </c>
      <c r="N38" s="44">
        <f t="shared" si="3"/>
        <v>16</v>
      </c>
      <c r="O38" s="123">
        <f t="shared" si="4"/>
        <v>86.005189999999999</v>
      </c>
      <c r="Q38" s="125" t="s">
        <v>52</v>
      </c>
      <c r="R38" s="127">
        <v>62080320.770000003</v>
      </c>
      <c r="S38" s="97">
        <f t="shared" si="10"/>
        <v>62.08032077</v>
      </c>
    </row>
    <row r="39" spans="1:19">
      <c r="A39" s="39" t="s">
        <v>602</v>
      </c>
      <c r="B39" s="47" t="s">
        <v>550</v>
      </c>
      <c r="C39" s="39" t="s">
        <v>115</v>
      </c>
      <c r="D39" s="47" t="s">
        <v>547</v>
      </c>
      <c r="E39" s="92">
        <v>9817052</v>
      </c>
      <c r="F39" s="96">
        <v>93</v>
      </c>
      <c r="G39" s="96">
        <v>1</v>
      </c>
      <c r="J39" s="120" t="s">
        <v>125</v>
      </c>
      <c r="K39" s="97">
        <f t="shared" si="0"/>
        <v>78302498</v>
      </c>
      <c r="L39" s="97">
        <f t="shared" si="1"/>
        <v>767</v>
      </c>
      <c r="M39" s="128">
        <f t="shared" si="2"/>
        <v>78.302498</v>
      </c>
      <c r="N39" s="44">
        <f t="shared" si="3"/>
        <v>11</v>
      </c>
      <c r="O39" s="123">
        <f t="shared" si="4"/>
        <v>78.302498</v>
      </c>
      <c r="Q39" s="125" t="s">
        <v>53</v>
      </c>
      <c r="R39" s="127">
        <v>53495581.380000003</v>
      </c>
      <c r="S39" s="97">
        <f t="shared" si="10"/>
        <v>53.495581380000004</v>
      </c>
    </row>
    <row r="40" spans="1:19">
      <c r="A40" s="39" t="s">
        <v>194</v>
      </c>
      <c r="B40" s="47" t="s">
        <v>550</v>
      </c>
      <c r="C40" s="39" t="s">
        <v>115</v>
      </c>
      <c r="D40" s="47" t="s">
        <v>547</v>
      </c>
      <c r="E40" s="92">
        <v>7218094</v>
      </c>
      <c r="F40" s="96">
        <v>105</v>
      </c>
      <c r="G40" s="96">
        <v>1</v>
      </c>
      <c r="J40" s="120" t="s">
        <v>126</v>
      </c>
      <c r="K40" s="97">
        <f t="shared" si="0"/>
        <v>49944157</v>
      </c>
      <c r="L40" s="97">
        <f t="shared" si="1"/>
        <v>522</v>
      </c>
      <c r="M40" s="128">
        <f t="shared" si="2"/>
        <v>49.944156999999997</v>
      </c>
      <c r="N40" s="44">
        <f t="shared" si="3"/>
        <v>13</v>
      </c>
      <c r="O40" s="123">
        <f t="shared" si="4"/>
        <v>49.944156999999997</v>
      </c>
      <c r="Q40" s="125" t="s">
        <v>54</v>
      </c>
      <c r="R40" s="127">
        <v>34582777.340000004</v>
      </c>
      <c r="S40" s="97">
        <f t="shared" si="10"/>
        <v>34.582777340000007</v>
      </c>
    </row>
    <row r="41" spans="1:19">
      <c r="A41" s="39" t="s">
        <v>195</v>
      </c>
      <c r="B41" s="47" t="s">
        <v>548</v>
      </c>
      <c r="C41" s="39" t="s">
        <v>112</v>
      </c>
      <c r="D41" s="47" t="s">
        <v>547</v>
      </c>
      <c r="E41" s="92">
        <v>164636</v>
      </c>
      <c r="F41" s="96">
        <v>0</v>
      </c>
      <c r="G41" s="96">
        <v>1</v>
      </c>
      <c r="J41" s="120" t="s">
        <v>127</v>
      </c>
      <c r="K41" s="97">
        <f t="shared" si="0"/>
        <v>0</v>
      </c>
      <c r="L41" s="97">
        <f t="shared" si="1"/>
        <v>0</v>
      </c>
      <c r="M41" s="128">
        <f t="shared" si="2"/>
        <v>0</v>
      </c>
      <c r="N41" s="44">
        <f t="shared" si="3"/>
        <v>0</v>
      </c>
      <c r="O41" s="123">
        <f t="shared" si="4"/>
        <v>0</v>
      </c>
      <c r="Q41" s="125" t="s">
        <v>55</v>
      </c>
      <c r="R41" s="127">
        <v>0</v>
      </c>
      <c r="S41" s="97">
        <f t="shared" si="10"/>
        <v>0</v>
      </c>
    </row>
    <row r="42" spans="1:19">
      <c r="A42" s="39" t="s">
        <v>603</v>
      </c>
      <c r="B42" s="47" t="s">
        <v>548</v>
      </c>
      <c r="C42" s="39" t="s">
        <v>112</v>
      </c>
      <c r="D42" s="47" t="s">
        <v>547</v>
      </c>
      <c r="E42" s="92">
        <v>8837421</v>
      </c>
      <c r="F42" s="96">
        <v>90</v>
      </c>
      <c r="G42" s="96">
        <v>1</v>
      </c>
      <c r="J42" s="120" t="s">
        <v>128</v>
      </c>
      <c r="K42" s="97">
        <f t="shared" si="0"/>
        <v>9089731</v>
      </c>
      <c r="L42" s="97">
        <f t="shared" si="1"/>
        <v>103</v>
      </c>
      <c r="M42" s="128">
        <f t="shared" si="2"/>
        <v>9.0897310000000004</v>
      </c>
      <c r="N42" s="44">
        <f t="shared" si="3"/>
        <v>3</v>
      </c>
      <c r="O42" s="123">
        <f t="shared" si="4"/>
        <v>9.0897310000000004</v>
      </c>
      <c r="Q42" s="125" t="s">
        <v>56</v>
      </c>
      <c r="R42" s="127">
        <v>6875014.4900000002</v>
      </c>
      <c r="S42" s="97">
        <f t="shared" si="10"/>
        <v>6.8750144899999999</v>
      </c>
    </row>
    <row r="43" spans="1:19">
      <c r="A43" s="39" t="s">
        <v>196</v>
      </c>
      <c r="B43" s="47" t="s">
        <v>548</v>
      </c>
      <c r="C43" s="39" t="s">
        <v>107</v>
      </c>
      <c r="D43" s="47" t="s">
        <v>549</v>
      </c>
      <c r="E43" s="92">
        <v>10886847</v>
      </c>
      <c r="F43" s="96">
        <v>63</v>
      </c>
      <c r="G43" s="96">
        <v>1</v>
      </c>
      <c r="J43" s="120" t="s">
        <v>129</v>
      </c>
      <c r="K43" s="97">
        <f t="shared" si="0"/>
        <v>60358351</v>
      </c>
      <c r="L43" s="97">
        <f t="shared" si="1"/>
        <v>460</v>
      </c>
      <c r="M43" s="128">
        <f t="shared" si="2"/>
        <v>60.358350999999999</v>
      </c>
      <c r="N43" s="44">
        <f t="shared" si="3"/>
        <v>7</v>
      </c>
      <c r="O43" s="123">
        <f t="shared" si="4"/>
        <v>60.358350999999999</v>
      </c>
      <c r="Q43" s="125" t="s">
        <v>57</v>
      </c>
      <c r="R43" s="127">
        <v>40882396.549999997</v>
      </c>
      <c r="S43" s="97">
        <f t="shared" si="10"/>
        <v>40.882396549999996</v>
      </c>
    </row>
    <row r="44" spans="1:19" ht="13">
      <c r="A44" s="39" t="s">
        <v>197</v>
      </c>
      <c r="B44" s="47" t="s">
        <v>548</v>
      </c>
      <c r="C44" s="39" t="s">
        <v>107</v>
      </c>
      <c r="D44" s="47" t="s">
        <v>549</v>
      </c>
      <c r="E44" s="92">
        <v>21521075</v>
      </c>
      <c r="F44" s="96">
        <v>105</v>
      </c>
      <c r="G44" s="96">
        <v>1</v>
      </c>
      <c r="J44" s="120" t="s">
        <v>23</v>
      </c>
      <c r="K44" s="97">
        <f t="shared" si="0"/>
        <v>1745874</v>
      </c>
      <c r="L44" s="97">
        <f t="shared" si="1"/>
        <v>40</v>
      </c>
      <c r="M44" s="128">
        <f t="shared" si="2"/>
        <v>1.7458739999999999</v>
      </c>
      <c r="N44" s="44">
        <f t="shared" si="3"/>
        <v>1</v>
      </c>
      <c r="O44" s="123">
        <f t="shared" si="4"/>
        <v>1.7458739999999999</v>
      </c>
      <c r="Q44" s="125" t="s">
        <v>58</v>
      </c>
      <c r="R44" s="126"/>
      <c r="S44" s="97"/>
    </row>
    <row r="45" spans="1:19">
      <c r="A45" s="39" t="s">
        <v>198</v>
      </c>
      <c r="B45" s="47" t="s">
        <v>550</v>
      </c>
      <c r="C45" s="39" t="s">
        <v>160</v>
      </c>
      <c r="D45" s="47" t="s">
        <v>549</v>
      </c>
      <c r="E45" s="92">
        <v>1732210</v>
      </c>
      <c r="F45" s="96">
        <v>30</v>
      </c>
      <c r="G45" s="96">
        <v>1</v>
      </c>
      <c r="J45" s="120" t="s">
        <v>130</v>
      </c>
      <c r="K45" s="97">
        <f t="shared" si="0"/>
        <v>66119496</v>
      </c>
      <c r="L45" s="97">
        <f t="shared" si="1"/>
        <v>468</v>
      </c>
      <c r="M45" s="128">
        <f t="shared" si="2"/>
        <v>66.119495999999998</v>
      </c>
      <c r="N45" s="44">
        <f t="shared" si="3"/>
        <v>9</v>
      </c>
      <c r="O45" s="123">
        <f t="shared" si="4"/>
        <v>66.119495999999998</v>
      </c>
      <c r="Q45" s="125" t="s">
        <v>59</v>
      </c>
      <c r="R45" s="127">
        <v>42243207.829999998</v>
      </c>
      <c r="S45" s="97">
        <f t="shared" ref="S45:S49" si="11">R45/1000000</f>
        <v>42.243207829999996</v>
      </c>
    </row>
    <row r="46" spans="1:19">
      <c r="A46" s="39" t="s">
        <v>199</v>
      </c>
      <c r="B46" s="47" t="s">
        <v>548</v>
      </c>
      <c r="C46" s="39" t="s">
        <v>31</v>
      </c>
      <c r="D46" s="47" t="s">
        <v>549</v>
      </c>
      <c r="E46" s="92">
        <v>8256220</v>
      </c>
      <c r="F46" s="96">
        <v>66</v>
      </c>
      <c r="G46" s="96">
        <v>1</v>
      </c>
      <c r="J46" s="120" t="s">
        <v>131</v>
      </c>
      <c r="K46" s="97">
        <f t="shared" si="0"/>
        <v>62283768</v>
      </c>
      <c r="L46" s="97">
        <f t="shared" si="1"/>
        <v>640</v>
      </c>
      <c r="M46" s="128">
        <f t="shared" si="2"/>
        <v>62.283768000000002</v>
      </c>
      <c r="N46" s="44">
        <f t="shared" si="3"/>
        <v>10</v>
      </c>
      <c r="O46" s="123">
        <f t="shared" si="4"/>
        <v>62.283768000000002</v>
      </c>
      <c r="Q46" s="125" t="s">
        <v>60</v>
      </c>
      <c r="R46" s="127">
        <v>45231944.009999998</v>
      </c>
      <c r="S46" s="97">
        <f t="shared" si="11"/>
        <v>45.231944009999999</v>
      </c>
    </row>
    <row r="47" spans="1:19">
      <c r="A47" s="39" t="s">
        <v>200</v>
      </c>
      <c r="B47" s="47" t="s">
        <v>550</v>
      </c>
      <c r="C47" s="39" t="s">
        <v>160</v>
      </c>
      <c r="D47" s="47" t="s">
        <v>549</v>
      </c>
      <c r="E47" s="92">
        <v>1998830</v>
      </c>
      <c r="F47" s="96">
        <v>40</v>
      </c>
      <c r="G47" s="96">
        <v>1</v>
      </c>
      <c r="J47" s="120" t="s">
        <v>132</v>
      </c>
      <c r="K47" s="97">
        <f t="shared" si="0"/>
        <v>86325376</v>
      </c>
      <c r="L47" s="97">
        <f t="shared" si="1"/>
        <v>695</v>
      </c>
      <c r="M47" s="128">
        <f t="shared" si="2"/>
        <v>86.325376000000006</v>
      </c>
      <c r="N47" s="44">
        <f t="shared" si="3"/>
        <v>10</v>
      </c>
      <c r="O47" s="123">
        <f t="shared" si="4"/>
        <v>86.325376000000006</v>
      </c>
      <c r="Q47" s="125" t="s">
        <v>61</v>
      </c>
      <c r="R47" s="127">
        <v>60550927.450000003</v>
      </c>
      <c r="S47" s="97">
        <f t="shared" si="11"/>
        <v>60.550927450000003</v>
      </c>
    </row>
    <row r="48" spans="1:19">
      <c r="A48" s="39" t="s">
        <v>201</v>
      </c>
      <c r="B48" s="47" t="s">
        <v>550</v>
      </c>
      <c r="C48" s="39" t="s">
        <v>96</v>
      </c>
      <c r="D48" s="47" t="s">
        <v>549</v>
      </c>
      <c r="E48" s="92">
        <v>7595146</v>
      </c>
      <c r="F48" s="96">
        <v>40</v>
      </c>
      <c r="G48" s="96">
        <v>1</v>
      </c>
      <c r="J48" s="120" t="s">
        <v>133</v>
      </c>
      <c r="K48" s="97">
        <f t="shared" si="0"/>
        <v>86742699</v>
      </c>
      <c r="L48" s="97">
        <f t="shared" si="1"/>
        <v>523</v>
      </c>
      <c r="M48" s="128">
        <f t="shared" si="2"/>
        <v>86.742699000000002</v>
      </c>
      <c r="N48" s="44">
        <f t="shared" si="3"/>
        <v>7</v>
      </c>
      <c r="O48" s="123">
        <f t="shared" si="4"/>
        <v>86.742699000000002</v>
      </c>
      <c r="Q48" s="125" t="s">
        <v>62</v>
      </c>
      <c r="R48" s="127">
        <v>51592384.789999999</v>
      </c>
      <c r="S48" s="97">
        <f t="shared" si="11"/>
        <v>51.592384789999997</v>
      </c>
    </row>
    <row r="49" spans="1:19">
      <c r="A49" s="39" t="s">
        <v>604</v>
      </c>
      <c r="B49" s="47" t="s">
        <v>548</v>
      </c>
      <c r="C49" s="39" t="s">
        <v>125</v>
      </c>
      <c r="D49" s="47" t="s">
        <v>549</v>
      </c>
      <c r="E49" s="92">
        <v>10240802</v>
      </c>
      <c r="F49" s="96">
        <v>80</v>
      </c>
      <c r="G49" s="96">
        <v>1</v>
      </c>
      <c r="J49" s="120" t="s">
        <v>134</v>
      </c>
      <c r="K49" s="97">
        <f t="shared" si="0"/>
        <v>38482548</v>
      </c>
      <c r="L49" s="97">
        <f t="shared" si="1"/>
        <v>281</v>
      </c>
      <c r="M49" s="128">
        <f t="shared" si="2"/>
        <v>38.482548000000001</v>
      </c>
      <c r="N49" s="44">
        <f t="shared" si="3"/>
        <v>8</v>
      </c>
      <c r="O49" s="123">
        <f t="shared" si="4"/>
        <v>38.482548000000001</v>
      </c>
      <c r="Q49" s="125" t="s">
        <v>63</v>
      </c>
      <c r="R49" s="127">
        <v>22534278.34</v>
      </c>
      <c r="S49" s="97">
        <f t="shared" si="11"/>
        <v>22.53427834</v>
      </c>
    </row>
    <row r="50" spans="1:19" ht="13">
      <c r="A50" s="39" t="s">
        <v>202</v>
      </c>
      <c r="B50" s="47" t="s">
        <v>548</v>
      </c>
      <c r="C50" s="39" t="s">
        <v>112</v>
      </c>
      <c r="D50" s="47" t="s">
        <v>549</v>
      </c>
      <c r="E50" s="92">
        <v>8586493</v>
      </c>
      <c r="F50" s="96">
        <v>75</v>
      </c>
      <c r="G50" s="96">
        <v>1</v>
      </c>
      <c r="J50" s="120" t="s">
        <v>135</v>
      </c>
      <c r="K50" s="97">
        <f t="shared" si="0"/>
        <v>20751700</v>
      </c>
      <c r="L50" s="97">
        <f t="shared" si="1"/>
        <v>224</v>
      </c>
      <c r="M50" s="128">
        <f t="shared" si="2"/>
        <v>20.7517</v>
      </c>
      <c r="N50" s="44">
        <f t="shared" si="3"/>
        <v>4</v>
      </c>
      <c r="O50" s="123">
        <f t="shared" si="4"/>
        <v>20.7517</v>
      </c>
      <c r="Q50" s="125" t="s">
        <v>64</v>
      </c>
      <c r="R50" s="126"/>
      <c r="S50" s="97"/>
    </row>
    <row r="51" spans="1:19" ht="13">
      <c r="A51" s="39" t="s">
        <v>203</v>
      </c>
      <c r="B51" s="47" t="s">
        <v>548</v>
      </c>
      <c r="C51" s="39" t="s">
        <v>132</v>
      </c>
      <c r="D51" s="47" t="s">
        <v>549</v>
      </c>
      <c r="E51" s="92">
        <v>16430681</v>
      </c>
      <c r="F51" s="96">
        <v>99</v>
      </c>
      <c r="G51" s="96">
        <v>1</v>
      </c>
      <c r="J51" s="120" t="s">
        <v>24</v>
      </c>
      <c r="K51" s="97">
        <f t="shared" si="0"/>
        <v>5628763</v>
      </c>
      <c r="L51" s="97">
        <f t="shared" si="1"/>
        <v>103</v>
      </c>
      <c r="M51" s="128">
        <f t="shared" si="2"/>
        <v>5.6287630000000002</v>
      </c>
      <c r="N51" s="44">
        <f t="shared" si="3"/>
        <v>2</v>
      </c>
      <c r="O51" s="123">
        <f t="shared" si="4"/>
        <v>5.6287630000000002</v>
      </c>
      <c r="Q51" s="125" t="s">
        <v>65</v>
      </c>
      <c r="R51" s="126"/>
      <c r="S51" s="97"/>
    </row>
    <row r="52" spans="1:19">
      <c r="A52" s="39" t="s">
        <v>204</v>
      </c>
      <c r="B52" s="47" t="s">
        <v>548</v>
      </c>
      <c r="C52" s="39" t="s">
        <v>31</v>
      </c>
      <c r="D52" s="47" t="s">
        <v>547</v>
      </c>
      <c r="E52" s="92">
        <v>2415127</v>
      </c>
      <c r="F52" s="96">
        <v>39</v>
      </c>
      <c r="G52" s="96">
        <v>1</v>
      </c>
      <c r="J52" s="120" t="s">
        <v>136</v>
      </c>
      <c r="K52" s="97">
        <f t="shared" si="0"/>
        <v>122500823</v>
      </c>
      <c r="L52" s="97">
        <f t="shared" si="1"/>
        <v>955</v>
      </c>
      <c r="M52" s="128">
        <f t="shared" si="2"/>
        <v>122.500823</v>
      </c>
      <c r="N52" s="44">
        <f t="shared" si="3"/>
        <v>15</v>
      </c>
      <c r="O52" s="123">
        <f t="shared" si="4"/>
        <v>122.500823</v>
      </c>
      <c r="Q52" s="125" t="s">
        <v>66</v>
      </c>
      <c r="R52" s="127">
        <v>80541622.780000001</v>
      </c>
      <c r="S52" s="97">
        <f t="shared" ref="S52:S53" si="12">R52/1000000</f>
        <v>80.541622779999997</v>
      </c>
    </row>
    <row r="53" spans="1:19">
      <c r="A53" s="39" t="s">
        <v>605</v>
      </c>
      <c r="B53" s="47" t="s">
        <v>548</v>
      </c>
      <c r="C53" s="39" t="s">
        <v>31</v>
      </c>
      <c r="D53" s="47" t="s">
        <v>547</v>
      </c>
      <c r="E53" s="92">
        <v>9263134</v>
      </c>
      <c r="F53" s="96">
        <v>103</v>
      </c>
      <c r="G53" s="96">
        <v>1</v>
      </c>
      <c r="J53" s="120" t="s">
        <v>137</v>
      </c>
      <c r="K53" s="97">
        <f t="shared" si="0"/>
        <v>85197624</v>
      </c>
      <c r="L53" s="97">
        <f t="shared" si="1"/>
        <v>746</v>
      </c>
      <c r="M53" s="128">
        <f t="shared" si="2"/>
        <v>85.197624000000005</v>
      </c>
      <c r="N53" s="44">
        <f t="shared" si="3"/>
        <v>11</v>
      </c>
      <c r="O53" s="123">
        <f t="shared" si="4"/>
        <v>85.197624000000005</v>
      </c>
      <c r="Q53" s="125" t="s">
        <v>67</v>
      </c>
      <c r="R53" s="127">
        <v>57497773.729999997</v>
      </c>
      <c r="S53" s="97">
        <f t="shared" si="12"/>
        <v>57.497773729999999</v>
      </c>
    </row>
    <row r="54" spans="1:19" ht="13">
      <c r="A54" s="39" t="s">
        <v>205</v>
      </c>
      <c r="B54" s="47" t="s">
        <v>548</v>
      </c>
      <c r="C54" s="39" t="s">
        <v>130</v>
      </c>
      <c r="D54" s="47" t="s">
        <v>549</v>
      </c>
      <c r="E54" s="92">
        <v>8816619</v>
      </c>
      <c r="F54" s="96">
        <v>45</v>
      </c>
      <c r="G54" s="96">
        <v>1</v>
      </c>
      <c r="J54" s="120" t="s">
        <v>138</v>
      </c>
      <c r="K54" s="97">
        <f t="shared" si="0"/>
        <v>11037347</v>
      </c>
      <c r="L54" s="97">
        <f t="shared" si="1"/>
        <v>110</v>
      </c>
      <c r="M54" s="128">
        <f t="shared" si="2"/>
        <v>11.037347</v>
      </c>
      <c r="N54" s="44">
        <f t="shared" si="3"/>
        <v>3</v>
      </c>
      <c r="O54" s="123">
        <f t="shared" si="4"/>
        <v>11.037347</v>
      </c>
      <c r="Q54" s="125" t="s">
        <v>68</v>
      </c>
      <c r="R54" s="126"/>
      <c r="S54" s="97"/>
    </row>
    <row r="55" spans="1:19">
      <c r="A55" s="39" t="s">
        <v>206</v>
      </c>
      <c r="B55" s="47" t="s">
        <v>548</v>
      </c>
      <c r="C55" s="39" t="s">
        <v>153</v>
      </c>
      <c r="D55" s="47" t="s">
        <v>549</v>
      </c>
      <c r="E55" s="92">
        <v>13530261</v>
      </c>
      <c r="F55" s="96">
        <v>60</v>
      </c>
      <c r="G55" s="96">
        <v>1</v>
      </c>
      <c r="J55" s="120" t="s">
        <v>139</v>
      </c>
      <c r="K55" s="97">
        <f t="shared" si="0"/>
        <v>62063453</v>
      </c>
      <c r="L55" s="97">
        <f t="shared" si="1"/>
        <v>639</v>
      </c>
      <c r="M55" s="128">
        <f t="shared" si="2"/>
        <v>62.063453000000003</v>
      </c>
      <c r="N55" s="44">
        <f t="shared" si="3"/>
        <v>12</v>
      </c>
      <c r="O55" s="123">
        <f t="shared" si="4"/>
        <v>62.063453000000003</v>
      </c>
      <c r="Q55" s="125" t="s">
        <v>69</v>
      </c>
      <c r="R55" s="127">
        <v>45240802.689999998</v>
      </c>
      <c r="S55" s="97">
        <f t="shared" ref="S55:S56" si="13">R55/1000000</f>
        <v>45.240802689999995</v>
      </c>
    </row>
    <row r="56" spans="1:19">
      <c r="A56" s="39" t="s">
        <v>596</v>
      </c>
      <c r="B56" s="47" t="s">
        <v>548</v>
      </c>
      <c r="C56" s="39" t="s">
        <v>100</v>
      </c>
      <c r="D56" s="47" t="s">
        <v>549</v>
      </c>
      <c r="E56" s="92">
        <v>3901898</v>
      </c>
      <c r="F56" s="96">
        <v>44</v>
      </c>
      <c r="G56" s="96">
        <v>1</v>
      </c>
      <c r="J56" s="120" t="s">
        <v>140</v>
      </c>
      <c r="K56" s="97">
        <f t="shared" si="0"/>
        <v>90344069</v>
      </c>
      <c r="L56" s="97">
        <f t="shared" si="1"/>
        <v>825</v>
      </c>
      <c r="M56" s="128">
        <f t="shared" si="2"/>
        <v>90.344069000000005</v>
      </c>
      <c r="N56" s="44">
        <f t="shared" si="3"/>
        <v>17</v>
      </c>
      <c r="O56" s="123">
        <f t="shared" si="4"/>
        <v>90.344069000000005</v>
      </c>
      <c r="Q56" s="125" t="s">
        <v>70</v>
      </c>
      <c r="R56" s="127">
        <v>63053341.439999998</v>
      </c>
      <c r="S56" s="97">
        <f t="shared" si="13"/>
        <v>63.053341439999997</v>
      </c>
    </row>
    <row r="57" spans="1:19" ht="13">
      <c r="A57" s="39" t="s">
        <v>207</v>
      </c>
      <c r="B57" s="47" t="s">
        <v>548</v>
      </c>
      <c r="C57" s="39" t="s">
        <v>122</v>
      </c>
      <c r="D57" s="47" t="s">
        <v>547</v>
      </c>
      <c r="E57" s="92">
        <v>2326093</v>
      </c>
      <c r="F57" s="96">
        <v>55</v>
      </c>
      <c r="G57" s="96">
        <v>1</v>
      </c>
      <c r="J57" s="120" t="s">
        <v>25</v>
      </c>
      <c r="K57" s="97">
        <f t="shared" si="0"/>
        <v>3053609</v>
      </c>
      <c r="L57" s="97">
        <f t="shared" si="1"/>
        <v>30</v>
      </c>
      <c r="M57" s="128">
        <f t="shared" si="2"/>
        <v>3.0536089999999998</v>
      </c>
      <c r="N57" s="44">
        <f t="shared" si="3"/>
        <v>1</v>
      </c>
      <c r="O57" s="123">
        <f t="shared" si="4"/>
        <v>3.0536089999999998</v>
      </c>
      <c r="Q57" s="125" t="s">
        <v>71</v>
      </c>
      <c r="R57" s="126"/>
      <c r="S57" s="97"/>
    </row>
    <row r="58" spans="1:19">
      <c r="A58" s="39" t="s">
        <v>208</v>
      </c>
      <c r="B58" s="47" t="s">
        <v>548</v>
      </c>
      <c r="C58" s="39" t="s">
        <v>139</v>
      </c>
      <c r="D58" s="47" t="s">
        <v>549</v>
      </c>
      <c r="E58" s="92">
        <v>5038500</v>
      </c>
      <c r="F58" s="96">
        <v>35</v>
      </c>
      <c r="G58" s="96">
        <v>1</v>
      </c>
      <c r="J58" s="120" t="s">
        <v>141</v>
      </c>
      <c r="K58" s="97">
        <f t="shared" si="0"/>
        <v>0</v>
      </c>
      <c r="L58" s="97">
        <f t="shared" si="1"/>
        <v>0</v>
      </c>
      <c r="M58" s="128">
        <f t="shared" si="2"/>
        <v>0</v>
      </c>
      <c r="N58" s="44">
        <f t="shared" si="3"/>
        <v>0</v>
      </c>
      <c r="O58" s="123">
        <f t="shared" si="4"/>
        <v>0</v>
      </c>
      <c r="Q58" s="125" t="s">
        <v>72</v>
      </c>
      <c r="R58" s="127">
        <v>0</v>
      </c>
      <c r="S58" s="97">
        <f>R58/1000000</f>
        <v>0</v>
      </c>
    </row>
    <row r="59" spans="1:19" ht="13">
      <c r="A59" s="39" t="s">
        <v>209</v>
      </c>
      <c r="B59" s="47" t="s">
        <v>548</v>
      </c>
      <c r="C59" s="39" t="s">
        <v>153</v>
      </c>
      <c r="D59" s="47" t="s">
        <v>549</v>
      </c>
      <c r="E59" s="92">
        <v>23559024</v>
      </c>
      <c r="F59" s="96">
        <v>96</v>
      </c>
      <c r="G59" s="96">
        <v>1</v>
      </c>
      <c r="J59" s="120" t="s">
        <v>26</v>
      </c>
      <c r="K59" s="97">
        <f t="shared" si="0"/>
        <v>1774884</v>
      </c>
      <c r="L59" s="97">
        <f t="shared" si="1"/>
        <v>25</v>
      </c>
      <c r="M59" s="128">
        <f t="shared" si="2"/>
        <v>1.7748839999999999</v>
      </c>
      <c r="N59" s="44">
        <f t="shared" si="3"/>
        <v>1</v>
      </c>
      <c r="O59" s="123">
        <f t="shared" si="4"/>
        <v>1.7748839999999999</v>
      </c>
      <c r="Q59" s="125" t="s">
        <v>73</v>
      </c>
      <c r="R59" s="126"/>
      <c r="S59" s="97"/>
    </row>
    <row r="60" spans="1:19" ht="13">
      <c r="A60" s="39" t="s">
        <v>210</v>
      </c>
      <c r="B60" s="47" t="s">
        <v>548</v>
      </c>
      <c r="C60" s="39" t="s">
        <v>31</v>
      </c>
      <c r="D60" s="47" t="s">
        <v>549</v>
      </c>
      <c r="E60" s="92">
        <v>11535344</v>
      </c>
      <c r="F60" s="96">
        <v>73</v>
      </c>
      <c r="G60" s="96">
        <v>1</v>
      </c>
      <c r="J60" s="120" t="s">
        <v>142</v>
      </c>
      <c r="K60" s="97">
        <f t="shared" si="0"/>
        <v>9600842</v>
      </c>
      <c r="L60" s="97">
        <f t="shared" si="1"/>
        <v>90</v>
      </c>
      <c r="M60" s="128">
        <f t="shared" si="2"/>
        <v>9.6008420000000001</v>
      </c>
      <c r="N60" s="44">
        <f t="shared" si="3"/>
        <v>2</v>
      </c>
      <c r="O60" s="123">
        <f t="shared" si="4"/>
        <v>9.6008420000000001</v>
      </c>
      <c r="Q60" s="125" t="s">
        <v>74</v>
      </c>
      <c r="R60" s="126"/>
      <c r="S60" s="97"/>
    </row>
    <row r="61" spans="1:19" ht="13">
      <c r="A61" s="39" t="s">
        <v>211</v>
      </c>
      <c r="B61" s="47" t="s">
        <v>548</v>
      </c>
      <c r="C61" s="39" t="s">
        <v>106</v>
      </c>
      <c r="D61" s="47" t="s">
        <v>547</v>
      </c>
      <c r="E61" s="92">
        <v>10428425</v>
      </c>
      <c r="F61" s="96">
        <v>105</v>
      </c>
      <c r="G61" s="96">
        <v>1</v>
      </c>
      <c r="J61" s="120" t="s">
        <v>143</v>
      </c>
      <c r="K61" s="97">
        <f t="shared" si="0"/>
        <v>4848170</v>
      </c>
      <c r="L61" s="97">
        <f t="shared" si="1"/>
        <v>80</v>
      </c>
      <c r="M61" s="128">
        <f t="shared" si="2"/>
        <v>4.8481699999999996</v>
      </c>
      <c r="N61" s="44">
        <f t="shared" si="3"/>
        <v>2</v>
      </c>
      <c r="O61" s="123">
        <f t="shared" si="4"/>
        <v>4.8481699999999996</v>
      </c>
      <c r="Q61" s="125" t="s">
        <v>75</v>
      </c>
      <c r="R61" s="126"/>
      <c r="S61" s="97"/>
    </row>
    <row r="62" spans="1:19">
      <c r="A62" s="39" t="s">
        <v>557</v>
      </c>
      <c r="B62" s="47" t="s">
        <v>548</v>
      </c>
      <c r="C62" s="39" t="s">
        <v>106</v>
      </c>
      <c r="D62" s="47" t="s">
        <v>549</v>
      </c>
      <c r="E62" s="92">
        <v>2527041</v>
      </c>
      <c r="F62" s="96">
        <v>40</v>
      </c>
      <c r="G62" s="96">
        <v>1</v>
      </c>
      <c r="J62" s="120" t="s">
        <v>144</v>
      </c>
      <c r="K62" s="97">
        <f t="shared" si="0"/>
        <v>28494637</v>
      </c>
      <c r="L62" s="97">
        <f t="shared" si="1"/>
        <v>377</v>
      </c>
      <c r="M62" s="128">
        <f t="shared" si="2"/>
        <v>28.494637000000001</v>
      </c>
      <c r="N62" s="44">
        <f t="shared" si="3"/>
        <v>10</v>
      </c>
      <c r="O62" s="123">
        <f t="shared" si="4"/>
        <v>28.494637000000001</v>
      </c>
      <c r="Q62" s="125" t="s">
        <v>76</v>
      </c>
      <c r="R62" s="127">
        <v>21478127.170000002</v>
      </c>
      <c r="S62" s="97">
        <f t="shared" ref="S62:S63" si="14">R62/1000000</f>
        <v>21.47812717</v>
      </c>
    </row>
    <row r="63" spans="1:19">
      <c r="A63" s="39" t="s">
        <v>212</v>
      </c>
      <c r="B63" s="47" t="s">
        <v>548</v>
      </c>
      <c r="C63" s="39" t="s">
        <v>153</v>
      </c>
      <c r="D63" s="47" t="s">
        <v>547</v>
      </c>
      <c r="E63" s="92">
        <v>6775578</v>
      </c>
      <c r="F63" s="96">
        <v>75</v>
      </c>
      <c r="G63" s="96">
        <v>1</v>
      </c>
      <c r="J63" s="120" t="s">
        <v>145</v>
      </c>
      <c r="K63" s="97">
        <f t="shared" si="0"/>
        <v>0</v>
      </c>
      <c r="L63" s="97">
        <f t="shared" si="1"/>
        <v>0</v>
      </c>
      <c r="M63" s="128">
        <f t="shared" si="2"/>
        <v>0</v>
      </c>
      <c r="N63" s="44">
        <f t="shared" si="3"/>
        <v>0</v>
      </c>
      <c r="O63" s="123">
        <f t="shared" si="4"/>
        <v>0</v>
      </c>
      <c r="Q63" s="125" t="s">
        <v>77</v>
      </c>
      <c r="R63" s="127">
        <v>0</v>
      </c>
      <c r="S63" s="97">
        <f t="shared" si="14"/>
        <v>0</v>
      </c>
    </row>
    <row r="64" spans="1:19" ht="13">
      <c r="A64" s="39" t="s">
        <v>580</v>
      </c>
      <c r="B64" s="47" t="s">
        <v>548</v>
      </c>
      <c r="C64" s="39" t="s">
        <v>106</v>
      </c>
      <c r="D64" s="47" t="s">
        <v>549</v>
      </c>
      <c r="E64" s="92">
        <v>6765705</v>
      </c>
      <c r="F64" s="96">
        <v>70</v>
      </c>
      <c r="G64" s="96">
        <v>1</v>
      </c>
      <c r="J64" s="120" t="s">
        <v>27</v>
      </c>
      <c r="K64" s="97">
        <f t="shared" si="0"/>
        <v>1464203</v>
      </c>
      <c r="L64" s="97">
        <f t="shared" si="1"/>
        <v>30</v>
      </c>
      <c r="M64" s="128">
        <f t="shared" si="2"/>
        <v>1.4642029999999999</v>
      </c>
      <c r="N64" s="44">
        <f t="shared" si="3"/>
        <v>1</v>
      </c>
      <c r="O64" s="123">
        <f t="shared" si="4"/>
        <v>1.4642029999999999</v>
      </c>
      <c r="Q64" s="125" t="s">
        <v>78</v>
      </c>
      <c r="R64" s="126"/>
      <c r="S64" s="97"/>
    </row>
    <row r="65" spans="1:19">
      <c r="A65" s="39" t="s">
        <v>213</v>
      </c>
      <c r="B65" s="47" t="s">
        <v>548</v>
      </c>
      <c r="C65" s="39" t="s">
        <v>112</v>
      </c>
      <c r="D65" s="47" t="s">
        <v>547</v>
      </c>
      <c r="E65" s="92">
        <v>9344625</v>
      </c>
      <c r="F65" s="96">
        <v>105</v>
      </c>
      <c r="G65" s="96">
        <v>1</v>
      </c>
      <c r="J65" s="120" t="s">
        <v>146</v>
      </c>
      <c r="K65" s="97">
        <f t="shared" si="0"/>
        <v>7104089</v>
      </c>
      <c r="L65" s="97">
        <f t="shared" si="1"/>
        <v>105</v>
      </c>
      <c r="M65" s="128">
        <f t="shared" si="2"/>
        <v>7.1040890000000001</v>
      </c>
      <c r="N65" s="44">
        <f t="shared" si="3"/>
        <v>4</v>
      </c>
      <c r="O65" s="123">
        <f t="shared" si="4"/>
        <v>7.1040890000000001</v>
      </c>
      <c r="Q65" s="125" t="s">
        <v>79</v>
      </c>
      <c r="R65" s="127">
        <v>5146148.99</v>
      </c>
      <c r="S65" s="97">
        <f>R65/1000000</f>
        <v>5.1461489900000004</v>
      </c>
    </row>
    <row r="66" spans="1:19" ht="13">
      <c r="A66" s="39" t="s">
        <v>606</v>
      </c>
      <c r="B66" s="47" t="s">
        <v>548</v>
      </c>
      <c r="C66" s="39" t="s">
        <v>112</v>
      </c>
      <c r="D66" s="47" t="s">
        <v>547</v>
      </c>
      <c r="E66" s="92">
        <v>2669131</v>
      </c>
      <c r="F66" s="96">
        <v>52</v>
      </c>
      <c r="G66" s="96">
        <v>1</v>
      </c>
      <c r="J66" s="120" t="s">
        <v>28</v>
      </c>
      <c r="K66" s="97">
        <f t="shared" si="0"/>
        <v>6989210</v>
      </c>
      <c r="L66" s="97">
        <f t="shared" si="1"/>
        <v>75</v>
      </c>
      <c r="M66" s="128">
        <f t="shared" si="2"/>
        <v>6.9892099999999999</v>
      </c>
      <c r="N66" s="44">
        <f t="shared" si="3"/>
        <v>2</v>
      </c>
      <c r="O66" s="123">
        <f t="shared" si="4"/>
        <v>6.9892099999999999</v>
      </c>
      <c r="Q66" s="125" t="s">
        <v>80</v>
      </c>
      <c r="R66" s="126"/>
      <c r="S66" s="97"/>
    </row>
    <row r="67" spans="1:19">
      <c r="A67" s="39" t="s">
        <v>214</v>
      </c>
      <c r="B67" s="47" t="s">
        <v>548</v>
      </c>
      <c r="C67" s="39" t="s">
        <v>136</v>
      </c>
      <c r="D67" s="47" t="s">
        <v>549</v>
      </c>
      <c r="E67" s="92">
        <v>13335292</v>
      </c>
      <c r="F67" s="96">
        <v>65</v>
      </c>
      <c r="G67" s="96">
        <v>1</v>
      </c>
      <c r="J67" s="120" t="s">
        <v>147</v>
      </c>
      <c r="K67" s="97">
        <f t="shared" si="0"/>
        <v>20327118</v>
      </c>
      <c r="L67" s="97">
        <f t="shared" si="1"/>
        <v>199</v>
      </c>
      <c r="M67" s="128">
        <f t="shared" si="2"/>
        <v>20.327117999999999</v>
      </c>
      <c r="N67" s="44">
        <f t="shared" si="3"/>
        <v>5</v>
      </c>
      <c r="O67" s="123">
        <f t="shared" si="4"/>
        <v>20.327117999999999</v>
      </c>
      <c r="Q67" s="125" t="s">
        <v>81</v>
      </c>
      <c r="R67" s="127">
        <v>14118284.77</v>
      </c>
      <c r="S67" s="97">
        <f>R67/1000000</f>
        <v>14.118284769999999</v>
      </c>
    </row>
    <row r="68" spans="1:19" ht="13">
      <c r="A68" s="39" t="s">
        <v>215</v>
      </c>
      <c r="B68" s="47" t="s">
        <v>550</v>
      </c>
      <c r="C68" s="39" t="s">
        <v>161</v>
      </c>
      <c r="D68" s="47" t="s">
        <v>547</v>
      </c>
      <c r="E68" s="92">
        <v>1182417</v>
      </c>
      <c r="F68" s="96">
        <v>33</v>
      </c>
      <c r="G68" s="96">
        <v>1</v>
      </c>
      <c r="J68" s="120" t="s">
        <v>29</v>
      </c>
      <c r="K68" s="97">
        <f t="shared" si="0"/>
        <v>2043680</v>
      </c>
      <c r="L68" s="97">
        <f t="shared" si="1"/>
        <v>32</v>
      </c>
      <c r="M68" s="128">
        <f t="shared" si="2"/>
        <v>2.0436800000000002</v>
      </c>
      <c r="N68" s="44">
        <f t="shared" si="3"/>
        <v>1</v>
      </c>
      <c r="O68" s="123">
        <f t="shared" si="4"/>
        <v>2.0436800000000002</v>
      </c>
      <c r="Q68" s="125" t="s">
        <v>82</v>
      </c>
      <c r="R68" s="126"/>
      <c r="S68" s="97"/>
    </row>
    <row r="69" spans="1:19">
      <c r="A69" s="39" t="s">
        <v>216</v>
      </c>
      <c r="B69" s="47" t="s">
        <v>548</v>
      </c>
      <c r="C69" s="39" t="s">
        <v>124</v>
      </c>
      <c r="D69" s="47" t="s">
        <v>549</v>
      </c>
      <c r="E69" s="92">
        <v>5383433</v>
      </c>
      <c r="F69" s="96">
        <v>40</v>
      </c>
      <c r="G69" s="96">
        <v>1</v>
      </c>
      <c r="J69" s="120" t="s">
        <v>148</v>
      </c>
      <c r="K69" s="97">
        <f t="shared" ref="K69:K82" si="15">SUMIF($C$4:$C$497,J69,E$4:E$497)</f>
        <v>4124205</v>
      </c>
      <c r="L69" s="97">
        <f t="shared" ref="L69:L82" si="16">SUMIF($C$4:$C$497,J69,F$4:F$497)</f>
        <v>89</v>
      </c>
      <c r="M69" s="128">
        <f t="shared" ref="M69:M84" si="17">K69/1000000</f>
        <v>4.1242049999999999</v>
      </c>
      <c r="N69" s="44">
        <f t="shared" ref="N69:N82" si="18">SUMIF($C$4:$C$497,J69,G$4:G$497)</f>
        <v>3</v>
      </c>
      <c r="O69" s="123">
        <f t="shared" ref="O69:O84" si="19">K69/1000000</f>
        <v>4.1242049999999999</v>
      </c>
      <c r="Q69" s="125" t="s">
        <v>83</v>
      </c>
      <c r="R69" s="127">
        <v>2960696.56</v>
      </c>
      <c r="S69" s="97">
        <f t="shared" ref="S69:S70" si="20">R69/1000000</f>
        <v>2.9606965600000001</v>
      </c>
    </row>
    <row r="70" spans="1:19">
      <c r="A70" s="39" t="s">
        <v>607</v>
      </c>
      <c r="B70" s="47" t="s">
        <v>548</v>
      </c>
      <c r="C70" s="39" t="s">
        <v>124</v>
      </c>
      <c r="D70" s="47" t="s">
        <v>547</v>
      </c>
      <c r="E70" s="92">
        <v>1930787</v>
      </c>
      <c r="F70" s="96">
        <v>41</v>
      </c>
      <c r="G70" s="96">
        <v>1</v>
      </c>
      <c r="J70" s="120" t="s">
        <v>149</v>
      </c>
      <c r="K70" s="97">
        <f t="shared" si="15"/>
        <v>10168793</v>
      </c>
      <c r="L70" s="97">
        <f t="shared" si="16"/>
        <v>159</v>
      </c>
      <c r="M70" s="128">
        <f t="shared" si="17"/>
        <v>10.168793000000001</v>
      </c>
      <c r="N70" s="44">
        <f t="shared" si="18"/>
        <v>4</v>
      </c>
      <c r="O70" s="123">
        <f t="shared" si="19"/>
        <v>10.168793000000001</v>
      </c>
      <c r="Q70" s="125" t="s">
        <v>84</v>
      </c>
      <c r="R70" s="127">
        <v>5971315.0300000003</v>
      </c>
      <c r="S70" s="97">
        <f t="shared" si="20"/>
        <v>5.9713150300000004</v>
      </c>
    </row>
    <row r="71" spans="1:19" ht="13">
      <c r="A71" s="39" t="s">
        <v>217</v>
      </c>
      <c r="B71" s="47" t="s">
        <v>548</v>
      </c>
      <c r="C71" s="39" t="s">
        <v>129</v>
      </c>
      <c r="D71" s="47" t="s">
        <v>549</v>
      </c>
      <c r="E71" s="92">
        <v>8084906</v>
      </c>
      <c r="F71" s="96">
        <v>50</v>
      </c>
      <c r="G71" s="96">
        <v>1</v>
      </c>
      <c r="J71" s="120" t="s">
        <v>30</v>
      </c>
      <c r="K71" s="97">
        <f t="shared" si="15"/>
        <v>307635</v>
      </c>
      <c r="L71" s="97">
        <f t="shared" si="16"/>
        <v>10</v>
      </c>
      <c r="M71" s="128">
        <f t="shared" si="17"/>
        <v>0.30763499999999999</v>
      </c>
      <c r="N71" s="44">
        <f t="shared" si="18"/>
        <v>1</v>
      </c>
      <c r="O71" s="123">
        <f t="shared" si="19"/>
        <v>0.30763499999999999</v>
      </c>
      <c r="Q71" s="125" t="s">
        <v>85</v>
      </c>
      <c r="R71" s="126"/>
      <c r="S71" s="97"/>
    </row>
    <row r="72" spans="1:19">
      <c r="A72" s="39" t="s">
        <v>218</v>
      </c>
      <c r="B72" s="47" t="s">
        <v>548</v>
      </c>
      <c r="C72" s="39" t="s">
        <v>156</v>
      </c>
      <c r="D72" s="47" t="s">
        <v>547</v>
      </c>
      <c r="E72" s="92">
        <v>2106918</v>
      </c>
      <c r="F72" s="96">
        <v>37</v>
      </c>
      <c r="G72" s="96">
        <v>1</v>
      </c>
      <c r="J72" s="120" t="s">
        <v>150</v>
      </c>
      <c r="K72" s="97">
        <f t="shared" si="15"/>
        <v>10874192</v>
      </c>
      <c r="L72" s="97">
        <f t="shared" si="16"/>
        <v>154</v>
      </c>
      <c r="M72" s="128">
        <f t="shared" si="17"/>
        <v>10.874192000000001</v>
      </c>
      <c r="N72" s="44">
        <f t="shared" si="18"/>
        <v>4</v>
      </c>
      <c r="O72" s="123">
        <f t="shared" si="19"/>
        <v>10.874192000000001</v>
      </c>
      <c r="Q72" s="125" t="s">
        <v>86</v>
      </c>
      <c r="R72" s="127">
        <v>6958810.6699999999</v>
      </c>
      <c r="S72" s="97">
        <f t="shared" ref="S72:S76" si="21">R72/1000000</f>
        <v>6.9588106700000001</v>
      </c>
    </row>
    <row r="73" spans="1:19">
      <c r="A73" s="39" t="s">
        <v>219</v>
      </c>
      <c r="B73" s="47" t="s">
        <v>550</v>
      </c>
      <c r="C73" s="39" t="s">
        <v>108</v>
      </c>
      <c r="D73" s="47" t="s">
        <v>547</v>
      </c>
      <c r="E73" s="92">
        <v>1113854</v>
      </c>
      <c r="F73" s="96">
        <v>20</v>
      </c>
      <c r="G73" s="96">
        <v>1</v>
      </c>
      <c r="J73" s="120" t="s">
        <v>158</v>
      </c>
      <c r="K73" s="97">
        <f t="shared" si="15"/>
        <v>23206802</v>
      </c>
      <c r="L73" s="97">
        <f t="shared" si="16"/>
        <v>234</v>
      </c>
      <c r="M73" s="128">
        <f t="shared" si="17"/>
        <v>23.206802</v>
      </c>
      <c r="N73" s="44">
        <f t="shared" si="18"/>
        <v>8</v>
      </c>
      <c r="O73" s="123">
        <f t="shared" si="19"/>
        <v>23.206802</v>
      </c>
      <c r="Q73" s="125" t="s">
        <v>87</v>
      </c>
      <c r="R73" s="127">
        <v>15064562.02</v>
      </c>
      <c r="S73" s="97">
        <f t="shared" si="21"/>
        <v>15.06456202</v>
      </c>
    </row>
    <row r="74" spans="1:19">
      <c r="A74" s="39" t="s">
        <v>220</v>
      </c>
      <c r="B74" s="47" t="s">
        <v>550</v>
      </c>
      <c r="C74" s="39" t="s">
        <v>115</v>
      </c>
      <c r="D74" s="47" t="s">
        <v>547</v>
      </c>
      <c r="E74" s="92">
        <v>2012983</v>
      </c>
      <c r="F74" s="96">
        <v>39</v>
      </c>
      <c r="G74" s="96">
        <v>1</v>
      </c>
      <c r="J74" s="120" t="s">
        <v>151</v>
      </c>
      <c r="K74" s="97">
        <f t="shared" si="15"/>
        <v>25934123</v>
      </c>
      <c r="L74" s="97">
        <f t="shared" si="16"/>
        <v>318</v>
      </c>
      <c r="M74" s="128">
        <f t="shared" si="17"/>
        <v>25.934123</v>
      </c>
      <c r="N74" s="44">
        <f t="shared" si="18"/>
        <v>7</v>
      </c>
      <c r="O74" s="123">
        <f t="shared" si="19"/>
        <v>25.934123</v>
      </c>
      <c r="Q74" s="125" t="s">
        <v>88</v>
      </c>
      <c r="R74" s="127">
        <v>17095751.309999999</v>
      </c>
      <c r="S74" s="97">
        <f t="shared" si="21"/>
        <v>17.095751309999997</v>
      </c>
    </row>
    <row r="75" spans="1:19">
      <c r="A75" s="39" t="s">
        <v>221</v>
      </c>
      <c r="B75" s="47" t="s">
        <v>550</v>
      </c>
      <c r="C75" s="39" t="s">
        <v>158</v>
      </c>
      <c r="D75" s="47" t="s">
        <v>547</v>
      </c>
      <c r="E75" s="92">
        <v>4482736</v>
      </c>
      <c r="F75" s="96">
        <v>38</v>
      </c>
      <c r="G75" s="96">
        <v>1</v>
      </c>
      <c r="J75" s="120" t="s">
        <v>159</v>
      </c>
      <c r="K75" s="97">
        <f t="shared" si="15"/>
        <v>0</v>
      </c>
      <c r="L75" s="97">
        <f t="shared" si="16"/>
        <v>0</v>
      </c>
      <c r="M75" s="128">
        <f t="shared" si="17"/>
        <v>0</v>
      </c>
      <c r="N75" s="44">
        <f t="shared" si="18"/>
        <v>0</v>
      </c>
      <c r="O75" s="123">
        <f t="shared" si="19"/>
        <v>0</v>
      </c>
      <c r="Q75" s="125" t="s">
        <v>89</v>
      </c>
      <c r="R75" s="127">
        <v>0</v>
      </c>
      <c r="S75" s="97">
        <f t="shared" si="21"/>
        <v>0</v>
      </c>
    </row>
    <row r="76" spans="1:19">
      <c r="A76" s="39" t="s">
        <v>222</v>
      </c>
      <c r="B76" s="47" t="s">
        <v>548</v>
      </c>
      <c r="C76" s="39" t="s">
        <v>124</v>
      </c>
      <c r="D76" s="47" t="s">
        <v>547</v>
      </c>
      <c r="E76" s="92">
        <v>1967689</v>
      </c>
      <c r="F76" s="96">
        <v>29</v>
      </c>
      <c r="G76" s="96">
        <v>1</v>
      </c>
      <c r="J76" s="120" t="s">
        <v>31</v>
      </c>
      <c r="K76" s="97">
        <f t="shared" si="15"/>
        <v>56114551</v>
      </c>
      <c r="L76" s="97">
        <f t="shared" si="16"/>
        <v>431</v>
      </c>
      <c r="M76" s="128">
        <f t="shared" si="17"/>
        <v>56.114550999999999</v>
      </c>
      <c r="N76" s="44">
        <f t="shared" si="18"/>
        <v>6</v>
      </c>
      <c r="O76" s="123">
        <f t="shared" si="19"/>
        <v>56.114550999999999</v>
      </c>
      <c r="Q76" s="125" t="s">
        <v>152</v>
      </c>
      <c r="R76" s="127">
        <v>37533801.119999997</v>
      </c>
      <c r="S76" s="97">
        <f t="shared" si="21"/>
        <v>37.53380112</v>
      </c>
    </row>
    <row r="77" spans="1:19" ht="13">
      <c r="A77" s="39" t="s">
        <v>608</v>
      </c>
      <c r="B77" s="47" t="s">
        <v>548</v>
      </c>
      <c r="C77" s="39" t="s">
        <v>136</v>
      </c>
      <c r="D77" s="47" t="s">
        <v>547</v>
      </c>
      <c r="E77" s="92">
        <v>4398687</v>
      </c>
      <c r="F77" s="96">
        <v>71</v>
      </c>
      <c r="G77" s="96">
        <v>1</v>
      </c>
      <c r="J77" s="120" t="s">
        <v>153</v>
      </c>
      <c r="K77" s="97">
        <f t="shared" si="15"/>
        <v>137846029</v>
      </c>
      <c r="L77" s="97">
        <f t="shared" si="16"/>
        <v>690</v>
      </c>
      <c r="M77" s="128">
        <f t="shared" si="17"/>
        <v>137.84602899999999</v>
      </c>
      <c r="N77" s="44">
        <f t="shared" si="18"/>
        <v>10</v>
      </c>
      <c r="O77" s="123">
        <f t="shared" si="19"/>
        <v>137.84602899999999</v>
      </c>
      <c r="Q77" s="125" t="s">
        <v>90</v>
      </c>
      <c r="R77" s="126"/>
      <c r="S77" s="97"/>
    </row>
    <row r="78" spans="1:19">
      <c r="A78" s="39" t="s">
        <v>223</v>
      </c>
      <c r="B78" s="47" t="s">
        <v>550</v>
      </c>
      <c r="C78" s="39" t="s">
        <v>117</v>
      </c>
      <c r="D78" s="47" t="s">
        <v>547</v>
      </c>
      <c r="E78" s="92">
        <v>4180341</v>
      </c>
      <c r="F78" s="96">
        <v>50</v>
      </c>
      <c r="G78" s="96">
        <v>1</v>
      </c>
      <c r="J78" s="120" t="s">
        <v>160</v>
      </c>
      <c r="K78" s="97">
        <f t="shared" si="15"/>
        <v>10728933</v>
      </c>
      <c r="L78" s="97">
        <f t="shared" si="16"/>
        <v>150</v>
      </c>
      <c r="M78" s="128">
        <f t="shared" si="17"/>
        <v>10.728933</v>
      </c>
      <c r="N78" s="44">
        <f t="shared" si="18"/>
        <v>3</v>
      </c>
      <c r="O78" s="123">
        <f t="shared" si="19"/>
        <v>10.728933</v>
      </c>
      <c r="Q78" s="125" t="s">
        <v>91</v>
      </c>
      <c r="R78" s="127">
        <v>6203088.8499999996</v>
      </c>
      <c r="S78" s="97">
        <f t="shared" ref="S78:S82" si="22">R78/1000000</f>
        <v>6.2030888499999994</v>
      </c>
    </row>
    <row r="79" spans="1:19">
      <c r="A79" s="39" t="s">
        <v>224</v>
      </c>
      <c r="B79" s="47" t="s">
        <v>548</v>
      </c>
      <c r="C79" s="39" t="s">
        <v>132</v>
      </c>
      <c r="D79" s="47" t="s">
        <v>547</v>
      </c>
      <c r="E79" s="92">
        <v>12041841</v>
      </c>
      <c r="F79" s="96">
        <v>100</v>
      </c>
      <c r="G79" s="96">
        <v>1</v>
      </c>
      <c r="J79" s="120" t="s">
        <v>154</v>
      </c>
      <c r="K79" s="97">
        <f t="shared" si="15"/>
        <v>124903633</v>
      </c>
      <c r="L79" s="97">
        <f t="shared" si="16"/>
        <v>903</v>
      </c>
      <c r="M79" s="128">
        <f t="shared" si="17"/>
        <v>124.903633</v>
      </c>
      <c r="N79" s="44">
        <f t="shared" si="18"/>
        <v>13</v>
      </c>
      <c r="O79" s="123">
        <f t="shared" si="19"/>
        <v>124.903633</v>
      </c>
      <c r="Q79" s="125" t="s">
        <v>92</v>
      </c>
      <c r="R79" s="127">
        <v>75755561.989999995</v>
      </c>
      <c r="S79" s="97">
        <f t="shared" si="22"/>
        <v>75.75556198999999</v>
      </c>
    </row>
    <row r="80" spans="1:19">
      <c r="A80" s="39" t="s">
        <v>225</v>
      </c>
      <c r="B80" s="47" t="s">
        <v>548</v>
      </c>
      <c r="C80" s="39" t="s">
        <v>131</v>
      </c>
      <c r="D80" s="47" t="s">
        <v>549</v>
      </c>
      <c r="E80" s="92" t="s">
        <v>656</v>
      </c>
      <c r="F80" s="96">
        <v>0</v>
      </c>
      <c r="G80" s="96">
        <v>1</v>
      </c>
      <c r="J80" s="120" t="s">
        <v>32</v>
      </c>
      <c r="K80" s="97">
        <f t="shared" si="15"/>
        <v>30411153</v>
      </c>
      <c r="L80" s="97">
        <f t="shared" si="16"/>
        <v>288</v>
      </c>
      <c r="M80" s="128">
        <f t="shared" si="17"/>
        <v>30.411152999999999</v>
      </c>
      <c r="N80" s="44">
        <f t="shared" si="18"/>
        <v>8</v>
      </c>
      <c r="O80" s="123">
        <f t="shared" si="19"/>
        <v>30.411152999999999</v>
      </c>
      <c r="Q80" s="125" t="s">
        <v>155</v>
      </c>
      <c r="R80" s="127">
        <v>22747249.32</v>
      </c>
      <c r="S80" s="97">
        <f t="shared" si="22"/>
        <v>22.747249320000002</v>
      </c>
    </row>
    <row r="81" spans="1:19">
      <c r="A81" s="39" t="s">
        <v>226</v>
      </c>
      <c r="B81" s="47" t="s">
        <v>548</v>
      </c>
      <c r="C81" s="39" t="s">
        <v>125</v>
      </c>
      <c r="D81" s="47" t="s">
        <v>549</v>
      </c>
      <c r="E81" s="92">
        <v>5060643</v>
      </c>
      <c r="F81" s="96">
        <v>40</v>
      </c>
      <c r="G81" s="96">
        <v>1</v>
      </c>
      <c r="J81" s="120" t="s">
        <v>156</v>
      </c>
      <c r="K81" s="97">
        <f t="shared" si="15"/>
        <v>30291015</v>
      </c>
      <c r="L81" s="97">
        <f t="shared" si="16"/>
        <v>452</v>
      </c>
      <c r="M81" s="128">
        <f t="shared" si="17"/>
        <v>30.291015000000002</v>
      </c>
      <c r="N81" s="44">
        <f t="shared" si="18"/>
        <v>9</v>
      </c>
      <c r="O81" s="123">
        <f t="shared" si="19"/>
        <v>30.291015000000002</v>
      </c>
      <c r="Q81" s="125" t="s">
        <v>93</v>
      </c>
      <c r="R81" s="127">
        <v>21194989.289999999</v>
      </c>
      <c r="S81" s="97">
        <f t="shared" si="22"/>
        <v>21.194989289999999</v>
      </c>
    </row>
    <row r="82" spans="1:19">
      <c r="A82" s="39" t="s">
        <v>227</v>
      </c>
      <c r="B82" s="47" t="s">
        <v>550</v>
      </c>
      <c r="C82" s="39" t="s">
        <v>99</v>
      </c>
      <c r="D82" s="47" t="s">
        <v>547</v>
      </c>
      <c r="E82" s="92">
        <v>2142352</v>
      </c>
      <c r="F82" s="96">
        <v>30</v>
      </c>
      <c r="G82" s="96">
        <v>1</v>
      </c>
      <c r="J82" s="120" t="s">
        <v>157</v>
      </c>
      <c r="K82" s="97">
        <f t="shared" si="15"/>
        <v>0</v>
      </c>
      <c r="L82" s="97">
        <f t="shared" si="16"/>
        <v>0</v>
      </c>
      <c r="M82" s="128">
        <f t="shared" si="17"/>
        <v>0</v>
      </c>
      <c r="N82" s="44">
        <f t="shared" si="18"/>
        <v>0</v>
      </c>
      <c r="O82" s="123">
        <f t="shared" si="19"/>
        <v>0</v>
      </c>
      <c r="Q82" s="125" t="s">
        <v>94</v>
      </c>
      <c r="R82" s="127">
        <v>0</v>
      </c>
      <c r="S82" s="97">
        <f t="shared" si="22"/>
        <v>0</v>
      </c>
    </row>
    <row r="83" spans="1:19" ht="13">
      <c r="A83" s="39" t="s">
        <v>228</v>
      </c>
      <c r="B83" s="47" t="s">
        <v>548</v>
      </c>
      <c r="C83" s="39" t="s">
        <v>103</v>
      </c>
      <c r="D83" s="47" t="s">
        <v>547</v>
      </c>
      <c r="E83" s="92">
        <v>7056379</v>
      </c>
      <c r="F83" s="96">
        <v>60</v>
      </c>
      <c r="G83" s="96">
        <v>1</v>
      </c>
      <c r="J83" s="121" t="s">
        <v>572</v>
      </c>
      <c r="K83" s="13">
        <f>SUM(K4:K82)</f>
        <v>3021664883</v>
      </c>
      <c r="L83" s="13">
        <f>SUM(L4:L82)</f>
        <v>26284</v>
      </c>
      <c r="M83" s="128">
        <f t="shared" si="17"/>
        <v>3021.6648829999999</v>
      </c>
      <c r="N83" s="13">
        <f t="shared" ref="N83" si="23">SUM(N4:N82)</f>
        <v>494</v>
      </c>
      <c r="O83" s="123">
        <f t="shared" si="19"/>
        <v>3021.6648829999999</v>
      </c>
    </row>
    <row r="84" spans="1:19">
      <c r="A84" s="39" t="s">
        <v>229</v>
      </c>
      <c r="B84" s="47" t="s">
        <v>548</v>
      </c>
      <c r="C84" s="39" t="s">
        <v>131</v>
      </c>
      <c r="D84" s="47" t="s">
        <v>547</v>
      </c>
      <c r="E84" s="92">
        <v>8332350</v>
      </c>
      <c r="F84" s="96">
        <v>105</v>
      </c>
      <c r="G84" s="96">
        <v>1</v>
      </c>
      <c r="J84" s="122" t="s">
        <v>573</v>
      </c>
      <c r="K84" s="13">
        <f>SUM(K7,K10,K12:K13,K16:K17,K21,K23,K25,K29,K34,K36,K38:K39,K43,K45:K48,K52:K53,K55:K56,K60,K62,K67,K76:K77,K79:K81)</f>
        <v>2329647199</v>
      </c>
      <c r="L84" s="13">
        <f t="shared" ref="L84" si="24">SUM(L7,L10,L12:L13,L16:L17,L21,L23,L25,L29,L34,L36,L38:L39,L43,L45:L48,L52:L53,L55:L56,L60,L62,L67,L76:L77,L79:L81)</f>
        <v>18548</v>
      </c>
      <c r="M84" s="128">
        <f t="shared" si="17"/>
        <v>2329.647199</v>
      </c>
      <c r="N84" s="13">
        <f>SUM(N7,N10,N12:N13,N16:N17,N21,N23,N25,N29,N34,N36,N38:N39,N43,N45:N48,N52:N53,N55:N56,N60,N62,N67,N76:N77,N79:N81)</f>
        <v>311</v>
      </c>
      <c r="O84" s="123">
        <f t="shared" si="19"/>
        <v>2329.647199</v>
      </c>
    </row>
    <row r="85" spans="1:19">
      <c r="A85" s="39" t="s">
        <v>230</v>
      </c>
      <c r="B85" s="47" t="s">
        <v>548</v>
      </c>
      <c r="C85" s="39" t="s">
        <v>120</v>
      </c>
      <c r="D85" s="47" t="s">
        <v>547</v>
      </c>
      <c r="E85" s="92">
        <v>7194092</v>
      </c>
      <c r="F85" s="96">
        <v>60</v>
      </c>
      <c r="G85" s="96">
        <v>1</v>
      </c>
      <c r="M85" s="44"/>
      <c r="N85" s="44"/>
    </row>
    <row r="86" spans="1:19">
      <c r="A86" s="39" t="s">
        <v>231</v>
      </c>
      <c r="B86" s="47" t="s">
        <v>548</v>
      </c>
      <c r="C86" s="39" t="s">
        <v>130</v>
      </c>
      <c r="D86" s="47" t="s">
        <v>547</v>
      </c>
      <c r="E86" s="92">
        <v>3891704</v>
      </c>
      <c r="F86" s="96">
        <v>30</v>
      </c>
      <c r="G86" s="96">
        <v>1</v>
      </c>
      <c r="M86" s="44"/>
      <c r="N86" s="44"/>
      <c r="O86" s="44"/>
      <c r="P86" s="44"/>
      <c r="Q86" s="40"/>
    </row>
    <row r="87" spans="1:19">
      <c r="A87" s="39" t="s">
        <v>574</v>
      </c>
      <c r="B87" s="47" t="s">
        <v>548</v>
      </c>
      <c r="C87" s="39" t="s">
        <v>106</v>
      </c>
      <c r="D87" s="47" t="s">
        <v>547</v>
      </c>
      <c r="E87" s="92">
        <v>6399488</v>
      </c>
      <c r="F87" s="96">
        <v>60</v>
      </c>
      <c r="G87" s="96">
        <v>1</v>
      </c>
      <c r="M87" s="44"/>
      <c r="N87" s="44"/>
      <c r="O87" s="44"/>
      <c r="P87" s="44"/>
      <c r="Q87" s="40"/>
    </row>
    <row r="88" spans="1:19">
      <c r="A88" s="39" t="s">
        <v>232</v>
      </c>
      <c r="B88" s="47" t="s">
        <v>548</v>
      </c>
      <c r="C88" s="39" t="s">
        <v>131</v>
      </c>
      <c r="D88" s="47" t="s">
        <v>547</v>
      </c>
      <c r="E88" s="92">
        <v>4174674</v>
      </c>
      <c r="F88" s="96">
        <v>82</v>
      </c>
      <c r="G88" s="96">
        <v>1</v>
      </c>
      <c r="M88" s="44"/>
      <c r="N88" s="44"/>
      <c r="O88" s="44"/>
      <c r="P88" s="44"/>
      <c r="Q88" s="40"/>
    </row>
    <row r="89" spans="1:19">
      <c r="A89" s="39" t="s">
        <v>233</v>
      </c>
      <c r="B89" s="47" t="s">
        <v>550</v>
      </c>
      <c r="C89" s="39" t="s">
        <v>20</v>
      </c>
      <c r="D89" s="47" t="s">
        <v>547</v>
      </c>
      <c r="E89" s="92">
        <v>1020388</v>
      </c>
      <c r="F89" s="96">
        <v>28</v>
      </c>
      <c r="G89" s="96">
        <v>1</v>
      </c>
      <c r="M89" s="44"/>
      <c r="N89" s="44"/>
      <c r="O89" s="44"/>
      <c r="P89" s="44"/>
      <c r="Q89" s="40"/>
    </row>
    <row r="90" spans="1:19">
      <c r="A90" s="39" t="s">
        <v>234</v>
      </c>
      <c r="B90" s="47" t="s">
        <v>550</v>
      </c>
      <c r="C90" s="39" t="s">
        <v>24</v>
      </c>
      <c r="D90" s="47" t="s">
        <v>549</v>
      </c>
      <c r="E90" s="92">
        <v>3137488</v>
      </c>
      <c r="F90" s="96">
        <v>43</v>
      </c>
      <c r="G90" s="96">
        <v>1</v>
      </c>
      <c r="M90" s="44"/>
      <c r="N90" s="44"/>
      <c r="O90" s="44"/>
      <c r="P90" s="44"/>
      <c r="Q90" s="40"/>
    </row>
    <row r="91" spans="1:19">
      <c r="A91" s="39" t="s">
        <v>235</v>
      </c>
      <c r="B91" s="47" t="s">
        <v>550</v>
      </c>
      <c r="C91" s="39" t="s">
        <v>108</v>
      </c>
      <c r="D91" s="47" t="s">
        <v>547</v>
      </c>
      <c r="E91" s="92">
        <v>932350</v>
      </c>
      <c r="F91" s="96">
        <v>19</v>
      </c>
      <c r="G91" s="96">
        <v>1</v>
      </c>
      <c r="M91" s="44"/>
      <c r="N91" s="44"/>
      <c r="O91" s="44"/>
      <c r="P91" s="44"/>
      <c r="Q91" s="40"/>
    </row>
    <row r="92" spans="1:19">
      <c r="A92" s="39" t="s">
        <v>609</v>
      </c>
      <c r="B92" s="47" t="s">
        <v>550</v>
      </c>
      <c r="C92" s="39" t="s">
        <v>108</v>
      </c>
      <c r="D92" s="47" t="s">
        <v>547</v>
      </c>
      <c r="E92" s="92">
        <v>698423</v>
      </c>
      <c r="F92" s="96">
        <v>25</v>
      </c>
      <c r="G92" s="96">
        <v>1</v>
      </c>
      <c r="M92" s="44"/>
      <c r="N92" s="44"/>
      <c r="O92" s="44"/>
      <c r="P92" s="44"/>
      <c r="Q92" s="40"/>
    </row>
    <row r="93" spans="1:19">
      <c r="A93" s="39" t="s">
        <v>236</v>
      </c>
      <c r="B93" s="47" t="s">
        <v>550</v>
      </c>
      <c r="C93" s="39" t="s">
        <v>20</v>
      </c>
      <c r="D93" s="47" t="s">
        <v>549</v>
      </c>
      <c r="E93" s="92">
        <v>2111051</v>
      </c>
      <c r="F93" s="96">
        <v>29</v>
      </c>
      <c r="G93" s="96">
        <v>1</v>
      </c>
      <c r="M93" s="44"/>
      <c r="N93" s="44"/>
      <c r="O93" s="44"/>
      <c r="P93" s="44"/>
      <c r="Q93" s="40"/>
    </row>
    <row r="94" spans="1:19">
      <c r="A94" s="39" t="s">
        <v>237</v>
      </c>
      <c r="B94" s="47" t="s">
        <v>550</v>
      </c>
      <c r="C94" s="39" t="s">
        <v>149</v>
      </c>
      <c r="D94" s="47" t="s">
        <v>549</v>
      </c>
      <c r="E94" s="92">
        <v>2414544</v>
      </c>
      <c r="F94" s="96">
        <v>14</v>
      </c>
      <c r="G94" s="96">
        <v>1</v>
      </c>
      <c r="M94" s="44"/>
      <c r="N94" s="44"/>
      <c r="O94" s="44"/>
      <c r="P94" s="44"/>
      <c r="Q94" s="40"/>
    </row>
    <row r="95" spans="1:19">
      <c r="A95" s="39" t="s">
        <v>238</v>
      </c>
      <c r="B95" s="47" t="s">
        <v>548</v>
      </c>
      <c r="C95" s="39" t="s">
        <v>154</v>
      </c>
      <c r="D95" s="47" t="s">
        <v>549</v>
      </c>
      <c r="E95" s="92">
        <v>16400358</v>
      </c>
      <c r="F95" s="96">
        <v>75</v>
      </c>
      <c r="G95" s="96">
        <v>1</v>
      </c>
      <c r="M95" s="44"/>
      <c r="N95" s="44"/>
      <c r="O95" s="44"/>
      <c r="P95" s="44"/>
      <c r="Q95" s="40"/>
    </row>
    <row r="96" spans="1:19">
      <c r="A96" s="39" t="s">
        <v>239</v>
      </c>
      <c r="B96" s="47" t="s">
        <v>548</v>
      </c>
      <c r="C96" s="39" t="s">
        <v>122</v>
      </c>
      <c r="D96" s="47" t="s">
        <v>549</v>
      </c>
      <c r="E96" s="92">
        <v>7463867</v>
      </c>
      <c r="F96" s="96">
        <v>47</v>
      </c>
      <c r="G96" s="96">
        <v>1</v>
      </c>
      <c r="M96" s="44"/>
      <c r="N96" s="44"/>
      <c r="O96" s="44"/>
      <c r="P96" s="44"/>
      <c r="Q96" s="40"/>
    </row>
    <row r="97" spans="1:17">
      <c r="A97" s="39" t="s">
        <v>240</v>
      </c>
      <c r="B97" s="47" t="s">
        <v>550</v>
      </c>
      <c r="C97" s="39" t="s">
        <v>30</v>
      </c>
      <c r="D97" s="47" t="s">
        <v>547</v>
      </c>
      <c r="E97" s="92">
        <v>307635</v>
      </c>
      <c r="F97" s="96">
        <v>10</v>
      </c>
      <c r="G97" s="96">
        <v>1</v>
      </c>
      <c r="M97" s="44"/>
      <c r="N97" s="44"/>
      <c r="O97" s="44"/>
      <c r="P97" s="44"/>
      <c r="Q97" s="40"/>
    </row>
    <row r="98" spans="1:17">
      <c r="A98" s="39" t="s">
        <v>241</v>
      </c>
      <c r="B98" s="47" t="s">
        <v>550</v>
      </c>
      <c r="C98" s="39" t="s">
        <v>138</v>
      </c>
      <c r="D98" s="47" t="s">
        <v>549</v>
      </c>
      <c r="E98" s="92">
        <v>5539212</v>
      </c>
      <c r="F98" s="96">
        <v>40</v>
      </c>
      <c r="G98" s="96">
        <v>1</v>
      </c>
      <c r="M98" s="44"/>
      <c r="N98" s="44"/>
      <c r="O98" s="44"/>
      <c r="P98" s="44"/>
      <c r="Q98" s="40"/>
    </row>
    <row r="99" spans="1:17">
      <c r="A99" s="39" t="s">
        <v>242</v>
      </c>
      <c r="B99" s="47" t="s">
        <v>548</v>
      </c>
      <c r="C99" s="39" t="s">
        <v>130</v>
      </c>
      <c r="D99" s="47" t="s">
        <v>549</v>
      </c>
      <c r="E99" s="92">
        <v>4182323</v>
      </c>
      <c r="F99" s="96">
        <v>21</v>
      </c>
      <c r="G99" s="96">
        <v>1</v>
      </c>
      <c r="M99" s="44"/>
      <c r="N99" s="44"/>
      <c r="O99" s="44"/>
      <c r="P99" s="44"/>
      <c r="Q99" s="40"/>
    </row>
    <row r="100" spans="1:17">
      <c r="A100" s="39" t="s">
        <v>243</v>
      </c>
      <c r="B100" s="47" t="s">
        <v>548</v>
      </c>
      <c r="C100" s="39" t="s">
        <v>147</v>
      </c>
      <c r="D100" s="47" t="s">
        <v>549</v>
      </c>
      <c r="E100" s="92">
        <v>8085074</v>
      </c>
      <c r="F100" s="96">
        <v>48</v>
      </c>
      <c r="G100" s="96">
        <v>1</v>
      </c>
      <c r="M100" s="44"/>
      <c r="N100" s="44"/>
      <c r="O100" s="44"/>
      <c r="P100" s="44"/>
      <c r="Q100" s="40"/>
    </row>
    <row r="101" spans="1:17">
      <c r="A101" s="39" t="s">
        <v>245</v>
      </c>
      <c r="B101" s="47" t="s">
        <v>548</v>
      </c>
      <c r="C101" s="39" t="s">
        <v>122</v>
      </c>
      <c r="D101" s="47" t="s">
        <v>547</v>
      </c>
      <c r="E101" s="92">
        <v>11753188</v>
      </c>
      <c r="F101" s="96">
        <v>70</v>
      </c>
      <c r="G101" s="96">
        <v>1</v>
      </c>
      <c r="M101" s="44"/>
      <c r="N101" s="44"/>
      <c r="O101" s="44"/>
      <c r="P101" s="44"/>
      <c r="Q101" s="40"/>
    </row>
    <row r="102" spans="1:17">
      <c r="A102" s="39" t="s">
        <v>244</v>
      </c>
      <c r="B102" s="47" t="s">
        <v>550</v>
      </c>
      <c r="C102" s="39" t="s">
        <v>96</v>
      </c>
      <c r="D102" s="47" t="s">
        <v>549</v>
      </c>
      <c r="E102" s="92">
        <v>6463709</v>
      </c>
      <c r="F102" s="96">
        <v>45</v>
      </c>
      <c r="G102" s="96">
        <v>1</v>
      </c>
      <c r="M102" s="44"/>
      <c r="N102" s="44"/>
      <c r="O102" s="44"/>
      <c r="P102" s="44"/>
      <c r="Q102" s="40"/>
    </row>
    <row r="103" spans="1:17">
      <c r="A103" s="39" t="s">
        <v>246</v>
      </c>
      <c r="B103" s="47" t="s">
        <v>548</v>
      </c>
      <c r="C103" s="39" t="s">
        <v>109</v>
      </c>
      <c r="D103" s="47" t="s">
        <v>549</v>
      </c>
      <c r="E103" s="92">
        <v>11370077</v>
      </c>
      <c r="F103" s="96">
        <v>79</v>
      </c>
      <c r="G103" s="96">
        <v>1</v>
      </c>
      <c r="M103" s="44"/>
      <c r="N103" s="44"/>
      <c r="O103" s="44"/>
      <c r="P103" s="44"/>
      <c r="Q103" s="40"/>
    </row>
    <row r="104" spans="1:17">
      <c r="A104" s="39" t="s">
        <v>610</v>
      </c>
      <c r="B104" s="47" t="s">
        <v>548</v>
      </c>
      <c r="C104" s="39" t="s">
        <v>107</v>
      </c>
      <c r="D104" s="47" t="s">
        <v>547</v>
      </c>
      <c r="E104" s="92">
        <v>3294085</v>
      </c>
      <c r="F104" s="96">
        <v>50</v>
      </c>
      <c r="G104" s="96">
        <v>1</v>
      </c>
      <c r="M104" s="44"/>
      <c r="N104" s="44"/>
      <c r="O104" s="44"/>
      <c r="P104" s="44"/>
      <c r="Q104" s="40"/>
    </row>
    <row r="105" spans="1:17">
      <c r="A105" s="39" t="s">
        <v>247</v>
      </c>
      <c r="B105" s="47" t="s">
        <v>548</v>
      </c>
      <c r="C105" s="39" t="s">
        <v>137</v>
      </c>
      <c r="D105" s="47" t="s">
        <v>549</v>
      </c>
      <c r="E105" s="92">
        <v>4460957</v>
      </c>
      <c r="F105" s="96">
        <v>40</v>
      </c>
      <c r="G105" s="96">
        <v>1</v>
      </c>
      <c r="J105" s="42"/>
      <c r="K105" s="37"/>
      <c r="L105" s="37"/>
      <c r="M105" s="44"/>
      <c r="N105" s="44"/>
      <c r="O105" s="44"/>
      <c r="P105" s="44"/>
      <c r="Q105" s="40"/>
    </row>
    <row r="106" spans="1:17">
      <c r="A106" s="39" t="s">
        <v>248</v>
      </c>
      <c r="B106" s="47" t="s">
        <v>548</v>
      </c>
      <c r="C106" s="39" t="s">
        <v>156</v>
      </c>
      <c r="D106" s="47" t="s">
        <v>549</v>
      </c>
      <c r="E106" s="92">
        <v>5836285</v>
      </c>
      <c r="F106" s="96">
        <v>68</v>
      </c>
      <c r="G106" s="96">
        <v>1</v>
      </c>
      <c r="J106" s="42"/>
      <c r="K106" s="37"/>
      <c r="L106" s="37"/>
      <c r="M106" s="44"/>
      <c r="N106" s="44"/>
      <c r="O106" s="44"/>
      <c r="P106" s="44"/>
      <c r="Q106" s="40"/>
    </row>
    <row r="107" spans="1:17">
      <c r="A107" s="39" t="s">
        <v>249</v>
      </c>
      <c r="B107" s="47" t="s">
        <v>548</v>
      </c>
      <c r="C107" s="39" t="s">
        <v>109</v>
      </c>
      <c r="D107" s="47" t="s">
        <v>549</v>
      </c>
      <c r="E107" s="92">
        <v>5162326</v>
      </c>
      <c r="F107" s="96">
        <v>54</v>
      </c>
      <c r="G107" s="96">
        <v>1</v>
      </c>
      <c r="J107" s="42"/>
      <c r="K107" s="37"/>
      <c r="L107" s="37"/>
      <c r="M107" s="44"/>
      <c r="N107" s="44"/>
      <c r="O107" s="44"/>
      <c r="P107" s="44"/>
      <c r="Q107" s="40"/>
    </row>
    <row r="108" spans="1:17">
      <c r="A108" s="39" t="s">
        <v>250</v>
      </c>
      <c r="B108" s="47" t="s">
        <v>548</v>
      </c>
      <c r="C108" s="39" t="s">
        <v>131</v>
      </c>
      <c r="D108" s="47" t="s">
        <v>549</v>
      </c>
      <c r="E108" s="92">
        <v>9956032</v>
      </c>
      <c r="F108" s="96">
        <v>105</v>
      </c>
      <c r="G108" s="96">
        <v>1</v>
      </c>
      <c r="J108" s="42"/>
      <c r="K108" s="37"/>
      <c r="L108" s="37"/>
      <c r="M108" s="44"/>
      <c r="N108" s="44"/>
      <c r="O108" s="44"/>
      <c r="P108" s="44"/>
      <c r="Q108" s="40"/>
    </row>
    <row r="109" spans="1:17">
      <c r="A109" s="39" t="s">
        <v>251</v>
      </c>
      <c r="B109" s="47" t="s">
        <v>550</v>
      </c>
      <c r="C109" s="39" t="s">
        <v>25</v>
      </c>
      <c r="D109" s="47" t="s">
        <v>549</v>
      </c>
      <c r="E109" s="92">
        <v>3053609</v>
      </c>
      <c r="F109" s="96">
        <v>30</v>
      </c>
      <c r="G109" s="96">
        <v>1</v>
      </c>
      <c r="J109" s="42"/>
      <c r="K109" s="37"/>
      <c r="L109" s="37"/>
      <c r="M109" s="44"/>
      <c r="N109" s="44"/>
      <c r="O109" s="44"/>
      <c r="P109" s="44"/>
      <c r="Q109" s="40"/>
    </row>
    <row r="110" spans="1:17">
      <c r="A110" s="39" t="s">
        <v>252</v>
      </c>
      <c r="B110" s="47" t="s">
        <v>548</v>
      </c>
      <c r="C110" s="39" t="s">
        <v>116</v>
      </c>
      <c r="D110" s="47" t="s">
        <v>547</v>
      </c>
      <c r="E110" s="92">
        <v>10910131</v>
      </c>
      <c r="F110" s="96">
        <v>103</v>
      </c>
      <c r="G110" s="96">
        <v>1</v>
      </c>
      <c r="J110" s="42"/>
      <c r="K110" s="37"/>
      <c r="L110" s="37"/>
      <c r="M110" s="44"/>
      <c r="N110" s="44"/>
      <c r="O110" s="44"/>
      <c r="P110" s="44"/>
      <c r="Q110" s="40"/>
    </row>
    <row r="111" spans="1:17">
      <c r="A111" s="39" t="s">
        <v>611</v>
      </c>
      <c r="B111" s="47" t="s">
        <v>548</v>
      </c>
      <c r="C111" s="39" t="s">
        <v>116</v>
      </c>
      <c r="D111" s="47" t="s">
        <v>547</v>
      </c>
      <c r="E111" s="92">
        <v>8392927</v>
      </c>
      <c r="F111" s="96">
        <v>63</v>
      </c>
      <c r="G111" s="96">
        <v>1</v>
      </c>
      <c r="J111" s="42"/>
      <c r="K111" s="37"/>
      <c r="L111" s="37"/>
      <c r="M111" s="44"/>
      <c r="N111" s="44"/>
      <c r="O111" s="44"/>
      <c r="P111" s="44"/>
      <c r="Q111" s="40"/>
    </row>
    <row r="112" spans="1:17">
      <c r="A112" s="39" t="s">
        <v>253</v>
      </c>
      <c r="B112" s="47" t="s">
        <v>548</v>
      </c>
      <c r="C112" s="39" t="s">
        <v>116</v>
      </c>
      <c r="D112" s="47" t="s">
        <v>547</v>
      </c>
      <c r="E112" s="92">
        <v>2512469</v>
      </c>
      <c r="F112" s="96">
        <v>77</v>
      </c>
      <c r="G112" s="96">
        <v>1</v>
      </c>
      <c r="J112" s="42"/>
      <c r="K112" s="37"/>
      <c r="L112" s="37"/>
      <c r="M112" s="44"/>
      <c r="N112" s="44"/>
      <c r="O112" s="44"/>
      <c r="P112" s="44"/>
      <c r="Q112" s="40"/>
    </row>
    <row r="113" spans="1:17">
      <c r="A113" s="39" t="s">
        <v>612</v>
      </c>
      <c r="B113" s="47" t="s">
        <v>548</v>
      </c>
      <c r="C113" s="39" t="s">
        <v>109</v>
      </c>
      <c r="D113" s="47" t="s">
        <v>547</v>
      </c>
      <c r="E113" s="92">
        <v>4767216</v>
      </c>
      <c r="F113" s="96">
        <v>65</v>
      </c>
      <c r="G113" s="96">
        <v>1</v>
      </c>
      <c r="J113" s="42"/>
      <c r="K113" s="37"/>
      <c r="L113" s="37"/>
      <c r="M113" s="44"/>
      <c r="N113" s="44"/>
      <c r="O113" s="44"/>
      <c r="P113" s="44"/>
      <c r="Q113" s="40"/>
    </row>
    <row r="114" spans="1:17">
      <c r="A114" s="39" t="s">
        <v>254</v>
      </c>
      <c r="B114" s="47" t="s">
        <v>548</v>
      </c>
      <c r="C114" s="39" t="s">
        <v>140</v>
      </c>
      <c r="D114" s="47" t="s">
        <v>549</v>
      </c>
      <c r="E114" s="92">
        <v>3065669</v>
      </c>
      <c r="F114" s="96">
        <v>32</v>
      </c>
      <c r="G114" s="96">
        <v>1</v>
      </c>
      <c r="J114" s="42"/>
      <c r="K114" s="37"/>
      <c r="L114" s="37"/>
      <c r="M114" s="44"/>
      <c r="N114" s="44"/>
      <c r="O114" s="44"/>
      <c r="P114" s="44"/>
      <c r="Q114" s="40"/>
    </row>
    <row r="115" spans="1:17">
      <c r="A115" s="39" t="s">
        <v>255</v>
      </c>
      <c r="B115" s="47" t="s">
        <v>550</v>
      </c>
      <c r="C115" s="39" t="s">
        <v>22</v>
      </c>
      <c r="D115" s="47" t="s">
        <v>547</v>
      </c>
      <c r="E115" s="92">
        <v>1380493</v>
      </c>
      <c r="F115" s="96">
        <v>32</v>
      </c>
      <c r="G115" s="96">
        <v>1</v>
      </c>
      <c r="J115" s="42"/>
      <c r="K115" s="37"/>
      <c r="L115" s="37"/>
      <c r="M115" s="44"/>
      <c r="N115" s="44"/>
      <c r="O115" s="44"/>
      <c r="P115" s="44"/>
      <c r="Q115" s="40"/>
    </row>
    <row r="116" spans="1:17">
      <c r="A116" s="39" t="s">
        <v>256</v>
      </c>
      <c r="B116" s="47" t="s">
        <v>548</v>
      </c>
      <c r="C116" s="39" t="s">
        <v>103</v>
      </c>
      <c r="D116" s="47" t="s">
        <v>547</v>
      </c>
      <c r="E116" s="92">
        <v>14178953</v>
      </c>
      <c r="F116" s="96">
        <v>80</v>
      </c>
      <c r="G116" s="96">
        <v>1</v>
      </c>
      <c r="J116" s="42"/>
      <c r="K116" s="37"/>
      <c r="L116" s="37"/>
      <c r="M116" s="44"/>
      <c r="N116" s="44"/>
      <c r="O116" s="44"/>
      <c r="P116" s="44"/>
      <c r="Q116" s="40"/>
    </row>
    <row r="117" spans="1:17">
      <c r="A117" s="39" t="s">
        <v>257</v>
      </c>
      <c r="B117" s="47" t="s">
        <v>548</v>
      </c>
      <c r="C117" s="39" t="s">
        <v>103</v>
      </c>
      <c r="D117" s="47" t="s">
        <v>549</v>
      </c>
      <c r="E117" s="92">
        <v>22780293</v>
      </c>
      <c r="F117" s="96">
        <v>80</v>
      </c>
      <c r="G117" s="96">
        <v>1</v>
      </c>
      <c r="J117" s="42"/>
      <c r="K117" s="37"/>
      <c r="L117" s="37"/>
      <c r="M117" s="44"/>
      <c r="N117" s="44"/>
      <c r="O117" s="44"/>
      <c r="P117" s="44"/>
      <c r="Q117" s="40"/>
    </row>
    <row r="118" spans="1:17">
      <c r="A118" s="39" t="s">
        <v>258</v>
      </c>
      <c r="B118" s="47" t="s">
        <v>548</v>
      </c>
      <c r="C118" s="39" t="s">
        <v>103</v>
      </c>
      <c r="D118" s="47" t="s">
        <v>549</v>
      </c>
      <c r="E118" s="92">
        <v>9193026</v>
      </c>
      <c r="F118" s="96">
        <v>55</v>
      </c>
      <c r="G118" s="96">
        <v>1</v>
      </c>
      <c r="J118" s="42"/>
      <c r="K118" s="37"/>
      <c r="L118" s="37"/>
      <c r="M118" s="44"/>
      <c r="N118" s="44"/>
      <c r="O118" s="44"/>
      <c r="P118" s="44"/>
      <c r="Q118" s="40"/>
    </row>
    <row r="119" spans="1:17">
      <c r="A119" s="39" t="s">
        <v>585</v>
      </c>
      <c r="B119" s="47" t="s">
        <v>548</v>
      </c>
      <c r="C119" s="39" t="s">
        <v>142</v>
      </c>
      <c r="D119" s="47" t="s">
        <v>549</v>
      </c>
      <c r="E119" s="92">
        <v>5692533</v>
      </c>
      <c r="F119" s="96">
        <v>50</v>
      </c>
      <c r="G119" s="96">
        <v>1</v>
      </c>
      <c r="J119" s="42"/>
      <c r="K119" s="37"/>
      <c r="L119" s="37"/>
      <c r="M119" s="44"/>
      <c r="N119" s="44"/>
      <c r="O119" s="44"/>
      <c r="P119" s="44"/>
      <c r="Q119" s="40"/>
    </row>
    <row r="120" spans="1:17">
      <c r="A120" s="39" t="s">
        <v>259</v>
      </c>
      <c r="B120" s="47" t="s">
        <v>548</v>
      </c>
      <c r="C120" s="39" t="s">
        <v>144</v>
      </c>
      <c r="D120" s="47" t="s">
        <v>549</v>
      </c>
      <c r="E120" s="92">
        <v>1686309</v>
      </c>
      <c r="F120" s="96">
        <v>40</v>
      </c>
      <c r="G120" s="96">
        <v>1</v>
      </c>
      <c r="J120" s="42"/>
      <c r="K120" s="37"/>
      <c r="L120" s="37"/>
      <c r="M120" s="44"/>
      <c r="N120" s="44"/>
      <c r="O120" s="44"/>
      <c r="P120" s="44"/>
      <c r="Q120" s="40"/>
    </row>
    <row r="121" spans="1:17">
      <c r="A121" s="39" t="s">
        <v>260</v>
      </c>
      <c r="B121" s="47" t="s">
        <v>548</v>
      </c>
      <c r="C121" s="39" t="s">
        <v>124</v>
      </c>
      <c r="D121" s="47" t="s">
        <v>549</v>
      </c>
      <c r="E121" s="92">
        <v>16803750</v>
      </c>
      <c r="F121" s="96">
        <v>90</v>
      </c>
      <c r="G121" s="96">
        <v>1</v>
      </c>
      <c r="J121" s="42"/>
      <c r="K121" s="37"/>
      <c r="L121" s="37"/>
      <c r="M121" s="44"/>
      <c r="N121" s="44"/>
      <c r="O121" s="44"/>
      <c r="P121" s="44"/>
      <c r="Q121" s="40"/>
    </row>
    <row r="122" spans="1:17">
      <c r="A122" s="39" t="s">
        <v>261</v>
      </c>
      <c r="B122" s="47" t="s">
        <v>548</v>
      </c>
      <c r="C122" s="39" t="s">
        <v>129</v>
      </c>
      <c r="D122" s="47" t="s">
        <v>549</v>
      </c>
      <c r="E122" s="92">
        <v>16069149</v>
      </c>
      <c r="F122" s="96">
        <v>85</v>
      </c>
      <c r="G122" s="96">
        <v>1</v>
      </c>
      <c r="J122" s="42"/>
      <c r="K122" s="37"/>
      <c r="L122" s="37"/>
      <c r="M122" s="44"/>
      <c r="N122" s="44"/>
      <c r="O122" s="44"/>
      <c r="P122" s="44"/>
      <c r="Q122" s="40"/>
    </row>
    <row r="123" spans="1:17">
      <c r="A123" s="39" t="s">
        <v>262</v>
      </c>
      <c r="B123" s="47" t="s">
        <v>548</v>
      </c>
      <c r="C123" s="39" t="s">
        <v>131</v>
      </c>
      <c r="D123" s="47" t="s">
        <v>549</v>
      </c>
      <c r="E123" s="92">
        <v>20739048</v>
      </c>
      <c r="F123" s="96">
        <v>97</v>
      </c>
      <c r="G123" s="96">
        <v>1</v>
      </c>
      <c r="J123" s="42"/>
      <c r="K123" s="37"/>
      <c r="L123" s="37"/>
      <c r="M123" s="44"/>
      <c r="N123" s="44"/>
      <c r="O123" s="44"/>
      <c r="P123" s="44"/>
      <c r="Q123" s="40"/>
    </row>
    <row r="124" spans="1:17">
      <c r="A124" s="39" t="s">
        <v>263</v>
      </c>
      <c r="B124" s="47" t="s">
        <v>548</v>
      </c>
      <c r="C124" s="39" t="s">
        <v>140</v>
      </c>
      <c r="D124" s="47" t="s">
        <v>549</v>
      </c>
      <c r="E124" s="92">
        <v>5008976</v>
      </c>
      <c r="F124" s="96">
        <v>41</v>
      </c>
      <c r="G124" s="96">
        <v>1</v>
      </c>
      <c r="J124" s="42"/>
      <c r="K124" s="37"/>
      <c r="L124" s="37"/>
      <c r="M124" s="44"/>
      <c r="N124" s="44"/>
      <c r="O124" s="44"/>
      <c r="P124" s="44"/>
      <c r="Q124" s="40"/>
    </row>
    <row r="125" spans="1:17">
      <c r="A125" s="39" t="s">
        <v>264</v>
      </c>
      <c r="B125" s="47" t="s">
        <v>548</v>
      </c>
      <c r="C125" s="39" t="s">
        <v>139</v>
      </c>
      <c r="D125" s="47" t="s">
        <v>549</v>
      </c>
      <c r="E125" s="92">
        <v>9163762</v>
      </c>
      <c r="F125" s="96">
        <v>75</v>
      </c>
      <c r="G125" s="96">
        <v>1</v>
      </c>
      <c r="J125" s="42"/>
      <c r="K125" s="37"/>
      <c r="L125" s="37"/>
      <c r="M125" s="44"/>
      <c r="N125" s="44"/>
      <c r="O125" s="44"/>
      <c r="P125" s="44"/>
      <c r="Q125" s="40"/>
    </row>
    <row r="126" spans="1:17">
      <c r="A126" s="39" t="s">
        <v>265</v>
      </c>
      <c r="B126" s="47" t="s">
        <v>548</v>
      </c>
      <c r="C126" s="39" t="s">
        <v>139</v>
      </c>
      <c r="D126" s="47" t="s">
        <v>549</v>
      </c>
      <c r="E126" s="92">
        <v>7718590</v>
      </c>
      <c r="F126" s="96">
        <v>50</v>
      </c>
      <c r="G126" s="96">
        <v>1</v>
      </c>
      <c r="J126" s="42"/>
      <c r="K126" s="37"/>
      <c r="L126" s="37"/>
      <c r="M126" s="44"/>
      <c r="N126" s="44"/>
      <c r="O126" s="44"/>
      <c r="P126" s="44"/>
      <c r="Q126" s="40"/>
    </row>
    <row r="127" spans="1:17">
      <c r="A127" s="39" t="s">
        <v>266</v>
      </c>
      <c r="B127" s="47" t="s">
        <v>548</v>
      </c>
      <c r="C127" s="39" t="s">
        <v>131</v>
      </c>
      <c r="D127" s="47" t="s">
        <v>547</v>
      </c>
      <c r="E127" s="92">
        <v>128483</v>
      </c>
      <c r="F127" s="96">
        <v>19</v>
      </c>
      <c r="G127" s="96">
        <v>1</v>
      </c>
      <c r="J127" s="42"/>
      <c r="K127" s="37"/>
      <c r="L127" s="37"/>
      <c r="M127" s="44"/>
      <c r="N127" s="44"/>
      <c r="O127" s="44"/>
      <c r="P127" s="44"/>
      <c r="Q127" s="40"/>
    </row>
    <row r="128" spans="1:17">
      <c r="A128" s="39" t="s">
        <v>267</v>
      </c>
      <c r="B128" s="47" t="s">
        <v>550</v>
      </c>
      <c r="C128" s="39" t="s">
        <v>105</v>
      </c>
      <c r="D128" s="47" t="s">
        <v>549</v>
      </c>
      <c r="E128" s="92">
        <v>1073082</v>
      </c>
      <c r="F128" s="96">
        <v>30</v>
      </c>
      <c r="G128" s="96">
        <v>1</v>
      </c>
      <c r="J128" s="42"/>
      <c r="K128" s="37"/>
      <c r="L128" s="37"/>
      <c r="M128" s="44"/>
      <c r="N128" s="44"/>
      <c r="O128" s="44"/>
      <c r="P128" s="44"/>
      <c r="Q128" s="40"/>
    </row>
    <row r="129" spans="1:17">
      <c r="A129" s="39" t="s">
        <v>268</v>
      </c>
      <c r="B129" s="47" t="s">
        <v>550</v>
      </c>
      <c r="C129" s="39" t="s">
        <v>105</v>
      </c>
      <c r="D129" s="47" t="s">
        <v>547</v>
      </c>
      <c r="E129" s="92">
        <v>4215021</v>
      </c>
      <c r="F129" s="96">
        <v>84</v>
      </c>
      <c r="G129" s="96">
        <v>1</v>
      </c>
      <c r="J129" s="42"/>
      <c r="K129" s="37"/>
      <c r="L129" s="37"/>
      <c r="M129" s="44"/>
      <c r="N129" s="44"/>
      <c r="O129" s="44"/>
      <c r="P129" s="44"/>
      <c r="Q129" s="40"/>
    </row>
    <row r="130" spans="1:17">
      <c r="A130" s="39" t="s">
        <v>613</v>
      </c>
      <c r="B130" s="47" t="s">
        <v>548</v>
      </c>
      <c r="C130" s="39" t="s">
        <v>124</v>
      </c>
      <c r="D130" s="47" t="s">
        <v>547</v>
      </c>
      <c r="E130" s="92">
        <v>4468191</v>
      </c>
      <c r="F130" s="96">
        <v>80</v>
      </c>
      <c r="G130" s="96">
        <v>1</v>
      </c>
      <c r="J130" s="42"/>
      <c r="K130" s="37"/>
      <c r="L130" s="37"/>
      <c r="M130" s="44"/>
      <c r="N130" s="44"/>
      <c r="O130" s="44"/>
      <c r="P130" s="44"/>
      <c r="Q130" s="40"/>
    </row>
    <row r="131" spans="1:17">
      <c r="A131" s="39" t="s">
        <v>269</v>
      </c>
      <c r="B131" s="47" t="s">
        <v>548</v>
      </c>
      <c r="C131" s="39" t="s">
        <v>109</v>
      </c>
      <c r="D131" s="47" t="s">
        <v>549</v>
      </c>
      <c r="E131" s="92">
        <v>15215438</v>
      </c>
      <c r="F131" s="96">
        <v>100</v>
      </c>
      <c r="G131" s="96">
        <v>1</v>
      </c>
      <c r="J131" s="42"/>
      <c r="K131" s="37"/>
      <c r="L131" s="37"/>
      <c r="M131" s="44"/>
      <c r="N131" s="44"/>
      <c r="O131" s="44"/>
      <c r="P131" s="44"/>
      <c r="Q131" s="40"/>
    </row>
    <row r="132" spans="1:17">
      <c r="A132" s="39" t="s">
        <v>270</v>
      </c>
      <c r="B132" s="47" t="s">
        <v>550</v>
      </c>
      <c r="C132" s="39" t="s">
        <v>160</v>
      </c>
      <c r="D132" s="47" t="s">
        <v>549</v>
      </c>
      <c r="E132" s="92">
        <v>6997893</v>
      </c>
      <c r="F132" s="96">
        <v>80</v>
      </c>
      <c r="G132" s="96">
        <v>1</v>
      </c>
      <c r="J132" s="42"/>
      <c r="K132" s="37"/>
      <c r="L132" s="37"/>
      <c r="M132" s="44"/>
      <c r="N132" s="44"/>
      <c r="O132" s="44"/>
      <c r="P132" s="44"/>
      <c r="Q132" s="40"/>
    </row>
    <row r="133" spans="1:17">
      <c r="A133" s="39" t="s">
        <v>271</v>
      </c>
      <c r="B133" s="47" t="s">
        <v>548</v>
      </c>
      <c r="C133" s="39" t="s">
        <v>144</v>
      </c>
      <c r="D133" s="47" t="s">
        <v>549</v>
      </c>
      <c r="E133" s="92">
        <v>1664235</v>
      </c>
      <c r="F133" s="96">
        <v>28</v>
      </c>
      <c r="G133" s="96">
        <v>1</v>
      </c>
      <c r="J133" s="42"/>
      <c r="K133" s="37"/>
      <c r="L133" s="37"/>
      <c r="M133" s="44"/>
      <c r="N133" s="44"/>
      <c r="O133" s="44"/>
      <c r="P133" s="44"/>
      <c r="Q133" s="40"/>
    </row>
    <row r="134" spans="1:17">
      <c r="A134" s="39" t="s">
        <v>272</v>
      </c>
      <c r="B134" s="47" t="s">
        <v>548</v>
      </c>
      <c r="C134" s="39" t="s">
        <v>142</v>
      </c>
      <c r="D134" s="47" t="s">
        <v>549</v>
      </c>
      <c r="E134" s="92">
        <v>3908309</v>
      </c>
      <c r="F134" s="96">
        <v>40</v>
      </c>
      <c r="G134" s="96">
        <v>1</v>
      </c>
      <c r="J134" s="42"/>
      <c r="K134" s="37"/>
      <c r="L134" s="37"/>
      <c r="M134" s="44"/>
      <c r="N134" s="44"/>
      <c r="O134" s="44"/>
      <c r="P134" s="44"/>
      <c r="Q134" s="40"/>
    </row>
    <row r="135" spans="1:17">
      <c r="A135" s="39" t="s">
        <v>273</v>
      </c>
      <c r="B135" s="47" t="s">
        <v>548</v>
      </c>
      <c r="C135" s="39" t="s">
        <v>153</v>
      </c>
      <c r="D135" s="47" t="s">
        <v>549</v>
      </c>
      <c r="E135" s="92">
        <v>10755129</v>
      </c>
      <c r="F135" s="96">
        <v>40</v>
      </c>
      <c r="G135" s="96">
        <v>1</v>
      </c>
      <c r="J135" s="42"/>
      <c r="K135" s="37"/>
      <c r="L135" s="37"/>
      <c r="M135" s="44"/>
      <c r="N135" s="44"/>
      <c r="O135" s="44"/>
      <c r="P135" s="44"/>
      <c r="Q135" s="40"/>
    </row>
    <row r="136" spans="1:17">
      <c r="A136" s="39" t="s">
        <v>274</v>
      </c>
      <c r="B136" s="47" t="s">
        <v>548</v>
      </c>
      <c r="C136" s="39" t="s">
        <v>153</v>
      </c>
      <c r="D136" s="47" t="s">
        <v>549</v>
      </c>
      <c r="E136" s="92">
        <v>24781113</v>
      </c>
      <c r="F136" s="96">
        <v>99</v>
      </c>
      <c r="G136" s="96">
        <v>1</v>
      </c>
      <c r="J136" s="42"/>
      <c r="K136" s="37"/>
      <c r="L136" s="37"/>
      <c r="M136" s="44"/>
      <c r="N136" s="44"/>
      <c r="O136" s="44"/>
      <c r="P136" s="44"/>
      <c r="Q136" s="40"/>
    </row>
    <row r="137" spans="1:17">
      <c r="A137" s="39" t="s">
        <v>614</v>
      </c>
      <c r="B137" s="47" t="s">
        <v>548</v>
      </c>
      <c r="C137" s="39" t="s">
        <v>153</v>
      </c>
      <c r="D137" s="47" t="s">
        <v>547</v>
      </c>
      <c r="E137" s="92">
        <v>5748708</v>
      </c>
      <c r="F137" s="96">
        <v>45</v>
      </c>
      <c r="G137" s="96">
        <v>1</v>
      </c>
      <c r="J137" s="42"/>
      <c r="K137" s="37"/>
      <c r="L137" s="37"/>
      <c r="M137" s="44"/>
      <c r="N137" s="44"/>
      <c r="O137" s="44"/>
      <c r="P137" s="44"/>
      <c r="Q137" s="40"/>
    </row>
    <row r="138" spans="1:17">
      <c r="A138" s="39" t="s">
        <v>275</v>
      </c>
      <c r="B138" s="47" t="s">
        <v>550</v>
      </c>
      <c r="C138" s="39" t="s">
        <v>98</v>
      </c>
      <c r="D138" s="47" t="s">
        <v>549</v>
      </c>
      <c r="E138" s="92">
        <v>1610748</v>
      </c>
      <c r="F138" s="96">
        <v>17</v>
      </c>
      <c r="G138" s="96">
        <v>1</v>
      </c>
      <c r="J138" s="42"/>
      <c r="K138" s="37"/>
      <c r="L138" s="37"/>
      <c r="M138" s="44"/>
      <c r="N138" s="44"/>
      <c r="O138" s="44"/>
      <c r="P138" s="44"/>
      <c r="Q138" s="40"/>
    </row>
    <row r="139" spans="1:17">
      <c r="A139" s="39" t="s">
        <v>591</v>
      </c>
      <c r="B139" s="47" t="s">
        <v>548</v>
      </c>
      <c r="C139" s="39" t="s">
        <v>137</v>
      </c>
      <c r="D139" s="47" t="s">
        <v>547</v>
      </c>
      <c r="E139" s="92">
        <v>6267845</v>
      </c>
      <c r="F139" s="96">
        <v>100</v>
      </c>
      <c r="G139" s="96">
        <v>1</v>
      </c>
      <c r="J139" s="42"/>
      <c r="K139" s="37"/>
      <c r="L139" s="37"/>
      <c r="M139" s="44"/>
      <c r="N139" s="44"/>
      <c r="O139" s="44"/>
      <c r="P139" s="44"/>
      <c r="Q139" s="40"/>
    </row>
    <row r="140" spans="1:17">
      <c r="A140" s="39" t="s">
        <v>276</v>
      </c>
      <c r="B140" s="47" t="s">
        <v>548</v>
      </c>
      <c r="C140" s="39" t="s">
        <v>153</v>
      </c>
      <c r="D140" s="47" t="s">
        <v>549</v>
      </c>
      <c r="E140" s="92">
        <v>22901884</v>
      </c>
      <c r="F140" s="96">
        <v>89</v>
      </c>
      <c r="G140" s="96">
        <v>1</v>
      </c>
      <c r="J140" s="42"/>
      <c r="K140" s="37"/>
      <c r="L140" s="37"/>
      <c r="M140" s="44"/>
      <c r="N140" s="44"/>
      <c r="O140" s="44"/>
      <c r="P140" s="44"/>
      <c r="Q140" s="40"/>
    </row>
    <row r="141" spans="1:17">
      <c r="A141" s="39" t="s">
        <v>277</v>
      </c>
      <c r="B141" s="47" t="s">
        <v>550</v>
      </c>
      <c r="C141" s="39" t="s">
        <v>99</v>
      </c>
      <c r="D141" s="47" t="s">
        <v>549</v>
      </c>
      <c r="E141" s="92">
        <v>3782332</v>
      </c>
      <c r="F141" s="96">
        <v>28</v>
      </c>
      <c r="G141" s="96">
        <v>1</v>
      </c>
      <c r="J141" s="42"/>
      <c r="K141" s="37"/>
      <c r="L141" s="37"/>
      <c r="M141" s="44"/>
      <c r="N141" s="44"/>
      <c r="O141" s="44"/>
      <c r="P141" s="44"/>
      <c r="Q141" s="40"/>
    </row>
    <row r="142" spans="1:17">
      <c r="A142" s="39" t="s">
        <v>615</v>
      </c>
      <c r="B142" s="47" t="s">
        <v>548</v>
      </c>
      <c r="C142" s="39" t="s">
        <v>139</v>
      </c>
      <c r="D142" s="47" t="s">
        <v>547</v>
      </c>
      <c r="E142" s="92">
        <v>1381923</v>
      </c>
      <c r="F142" s="96">
        <v>33</v>
      </c>
      <c r="G142" s="96">
        <v>1</v>
      </c>
      <c r="J142" s="42"/>
      <c r="K142" s="37"/>
      <c r="L142" s="37"/>
      <c r="M142" s="44"/>
      <c r="N142" s="44"/>
      <c r="O142" s="44"/>
      <c r="P142" s="44"/>
      <c r="Q142" s="40"/>
    </row>
    <row r="143" spans="1:17">
      <c r="A143" s="39" t="s">
        <v>278</v>
      </c>
      <c r="B143" s="47" t="s">
        <v>548</v>
      </c>
      <c r="C143" s="39" t="s">
        <v>125</v>
      </c>
      <c r="D143" s="47" t="s">
        <v>547</v>
      </c>
      <c r="E143" s="92">
        <v>955985</v>
      </c>
      <c r="F143" s="96">
        <v>34</v>
      </c>
      <c r="G143" s="96">
        <v>1</v>
      </c>
      <c r="J143" s="42"/>
      <c r="K143" s="37"/>
      <c r="L143" s="37"/>
      <c r="M143" s="44"/>
      <c r="N143" s="44"/>
      <c r="O143" s="44"/>
      <c r="P143" s="44"/>
      <c r="Q143" s="40"/>
    </row>
    <row r="144" spans="1:17">
      <c r="A144" s="39" t="s">
        <v>279</v>
      </c>
      <c r="B144" s="47" t="s">
        <v>548</v>
      </c>
      <c r="C144" s="39" t="s">
        <v>125</v>
      </c>
      <c r="D144" s="47" t="s">
        <v>549</v>
      </c>
      <c r="E144" s="92">
        <v>4319083</v>
      </c>
      <c r="F144" s="96">
        <v>49</v>
      </c>
      <c r="G144" s="96">
        <v>1</v>
      </c>
      <c r="J144" s="42"/>
      <c r="K144" s="37"/>
      <c r="L144" s="37"/>
      <c r="M144" s="44"/>
      <c r="N144" s="44"/>
      <c r="O144" s="44"/>
      <c r="P144" s="44"/>
      <c r="Q144" s="40"/>
    </row>
    <row r="145" spans="1:17">
      <c r="A145" s="39" t="s">
        <v>280</v>
      </c>
      <c r="B145" s="47" t="s">
        <v>548</v>
      </c>
      <c r="C145" s="39" t="s">
        <v>139</v>
      </c>
      <c r="D145" s="47" t="s">
        <v>549</v>
      </c>
      <c r="E145" s="92">
        <v>10929066</v>
      </c>
      <c r="F145" s="96">
        <v>64</v>
      </c>
      <c r="G145" s="96">
        <v>1</v>
      </c>
      <c r="J145" s="42"/>
      <c r="K145" s="37"/>
      <c r="L145" s="37"/>
      <c r="M145" s="44"/>
      <c r="N145" s="44"/>
      <c r="O145" s="44"/>
      <c r="P145" s="44"/>
      <c r="Q145" s="40"/>
    </row>
    <row r="146" spans="1:17">
      <c r="A146" s="39" t="s">
        <v>281</v>
      </c>
      <c r="B146" s="47" t="s">
        <v>550</v>
      </c>
      <c r="C146" s="39" t="s">
        <v>158</v>
      </c>
      <c r="D146" s="47" t="s">
        <v>549</v>
      </c>
      <c r="E146" s="92">
        <v>420419</v>
      </c>
      <c r="F146" s="96">
        <v>8</v>
      </c>
      <c r="G146" s="96">
        <v>1</v>
      </c>
      <c r="J146" s="42"/>
      <c r="K146" s="37"/>
      <c r="L146" s="37"/>
      <c r="M146" s="44"/>
      <c r="N146" s="44"/>
      <c r="O146" s="44"/>
      <c r="P146" s="44"/>
      <c r="Q146" s="40"/>
    </row>
    <row r="147" spans="1:17">
      <c r="A147" s="39" t="s">
        <v>282</v>
      </c>
      <c r="B147" s="47" t="s">
        <v>548</v>
      </c>
      <c r="C147" s="39" t="s">
        <v>136</v>
      </c>
      <c r="D147" s="47" t="s">
        <v>549</v>
      </c>
      <c r="E147" s="92">
        <v>3920817</v>
      </c>
      <c r="F147" s="96">
        <v>46</v>
      </c>
      <c r="G147" s="96">
        <v>1</v>
      </c>
      <c r="J147" s="42"/>
      <c r="K147" s="37"/>
      <c r="L147" s="37"/>
      <c r="M147" s="44"/>
      <c r="N147" s="44"/>
      <c r="O147" s="44"/>
      <c r="P147" s="44"/>
      <c r="Q147" s="40"/>
    </row>
    <row r="148" spans="1:17">
      <c r="A148" s="39" t="s">
        <v>283</v>
      </c>
      <c r="B148" s="47" t="s">
        <v>550</v>
      </c>
      <c r="C148" s="39" t="s">
        <v>146</v>
      </c>
      <c r="D148" s="47" t="s">
        <v>547</v>
      </c>
      <c r="E148" s="92">
        <v>911333</v>
      </c>
      <c r="F148" s="96">
        <v>25</v>
      </c>
      <c r="G148" s="96">
        <v>1</v>
      </c>
      <c r="J148" s="42"/>
      <c r="K148" s="37"/>
      <c r="L148" s="37"/>
      <c r="M148" s="44"/>
      <c r="N148" s="44"/>
      <c r="O148" s="44"/>
      <c r="P148" s="44"/>
      <c r="Q148" s="40"/>
    </row>
    <row r="149" spans="1:17">
      <c r="A149" s="39" t="s">
        <v>284</v>
      </c>
      <c r="B149" s="47" t="s">
        <v>548</v>
      </c>
      <c r="C149" s="39" t="s">
        <v>107</v>
      </c>
      <c r="D149" s="47" t="s">
        <v>549</v>
      </c>
      <c r="E149" s="92">
        <v>13933849</v>
      </c>
      <c r="F149" s="96">
        <v>85</v>
      </c>
      <c r="G149" s="96">
        <v>1</v>
      </c>
      <c r="J149" s="42"/>
      <c r="K149" s="37"/>
      <c r="L149" s="37"/>
      <c r="M149" s="44"/>
      <c r="N149" s="44"/>
      <c r="O149" s="44"/>
      <c r="P149" s="44"/>
      <c r="Q149" s="40"/>
    </row>
    <row r="150" spans="1:17">
      <c r="A150" s="39" t="s">
        <v>616</v>
      </c>
      <c r="B150" s="47" t="s">
        <v>548</v>
      </c>
      <c r="C150" s="39" t="s">
        <v>111</v>
      </c>
      <c r="D150" s="47" t="s">
        <v>547</v>
      </c>
      <c r="E150" s="92">
        <v>11072608</v>
      </c>
      <c r="F150" s="96">
        <v>82</v>
      </c>
      <c r="G150" s="96">
        <v>1</v>
      </c>
      <c r="J150" s="42"/>
      <c r="K150" s="37"/>
      <c r="L150" s="37"/>
      <c r="M150" s="44"/>
      <c r="N150" s="44"/>
      <c r="O150" s="44"/>
      <c r="P150" s="44"/>
      <c r="Q150" s="40"/>
    </row>
    <row r="151" spans="1:17">
      <c r="A151" s="39" t="s">
        <v>285</v>
      </c>
      <c r="B151" s="47" t="s">
        <v>548</v>
      </c>
      <c r="C151" s="39" t="s">
        <v>124</v>
      </c>
      <c r="D151" s="47" t="s">
        <v>547</v>
      </c>
      <c r="E151" s="92">
        <v>1311656</v>
      </c>
      <c r="F151" s="96">
        <v>35</v>
      </c>
      <c r="G151" s="96">
        <v>1</v>
      </c>
      <c r="J151" s="42"/>
      <c r="K151" s="37"/>
      <c r="L151" s="37"/>
      <c r="M151" s="44"/>
      <c r="N151" s="44"/>
      <c r="O151" s="44"/>
      <c r="P151" s="44"/>
      <c r="Q151" s="40"/>
    </row>
    <row r="152" spans="1:17">
      <c r="A152" s="39" t="s">
        <v>286</v>
      </c>
      <c r="B152" s="47" t="s">
        <v>548</v>
      </c>
      <c r="C152" s="39" t="s">
        <v>109</v>
      </c>
      <c r="D152" s="47" t="s">
        <v>547</v>
      </c>
      <c r="E152" s="92">
        <v>443213</v>
      </c>
      <c r="F152" s="96">
        <v>30</v>
      </c>
      <c r="G152" s="96">
        <v>1</v>
      </c>
      <c r="J152" s="42"/>
      <c r="K152" s="37"/>
      <c r="L152" s="37"/>
      <c r="M152" s="44"/>
      <c r="N152" s="44"/>
      <c r="O152" s="44"/>
      <c r="P152" s="44"/>
      <c r="Q152" s="40"/>
    </row>
    <row r="153" spans="1:17">
      <c r="A153" s="39" t="s">
        <v>287</v>
      </c>
      <c r="B153" s="47" t="s">
        <v>550</v>
      </c>
      <c r="C153" s="39" t="s">
        <v>117</v>
      </c>
      <c r="D153" s="47" t="s">
        <v>549</v>
      </c>
      <c r="E153" s="92">
        <v>3302387</v>
      </c>
      <c r="F153" s="96">
        <v>39</v>
      </c>
      <c r="G153" s="96">
        <v>1</v>
      </c>
      <c r="J153" s="42"/>
      <c r="K153" s="37"/>
      <c r="L153" s="37"/>
      <c r="M153" s="44"/>
      <c r="N153" s="44"/>
      <c r="O153" s="44"/>
      <c r="P153" s="44"/>
      <c r="Q153" s="40"/>
    </row>
    <row r="154" spans="1:17">
      <c r="A154" s="39" t="s">
        <v>288</v>
      </c>
      <c r="B154" s="47" t="s">
        <v>550</v>
      </c>
      <c r="C154" s="39" t="s">
        <v>117</v>
      </c>
      <c r="D154" s="47" t="s">
        <v>549</v>
      </c>
      <c r="E154" s="92">
        <v>7057803</v>
      </c>
      <c r="F154" s="96">
        <v>50</v>
      </c>
      <c r="G154" s="96">
        <v>1</v>
      </c>
      <c r="J154" s="42"/>
      <c r="K154" s="37"/>
      <c r="L154" s="37"/>
      <c r="M154" s="44"/>
      <c r="N154" s="44"/>
      <c r="O154" s="44"/>
      <c r="P154" s="44"/>
      <c r="Q154" s="40"/>
    </row>
    <row r="155" spans="1:17">
      <c r="A155" s="39" t="s">
        <v>289</v>
      </c>
      <c r="B155" s="47" t="s">
        <v>550</v>
      </c>
      <c r="C155" s="39" t="s">
        <v>117</v>
      </c>
      <c r="D155" s="47" t="s">
        <v>547</v>
      </c>
      <c r="E155" s="92">
        <v>9782356</v>
      </c>
      <c r="F155" s="96">
        <v>105</v>
      </c>
      <c r="G155" s="96">
        <v>1</v>
      </c>
      <c r="J155" s="42"/>
      <c r="K155" s="37"/>
      <c r="L155" s="37"/>
      <c r="M155" s="44"/>
      <c r="N155" s="44"/>
      <c r="O155" s="44"/>
      <c r="P155" s="44"/>
      <c r="Q155" s="40"/>
    </row>
    <row r="156" spans="1:17">
      <c r="A156" s="39" t="s">
        <v>617</v>
      </c>
      <c r="B156" s="47" t="s">
        <v>550</v>
      </c>
      <c r="C156" s="39" t="s">
        <v>117</v>
      </c>
      <c r="D156" s="47" t="s">
        <v>547</v>
      </c>
      <c r="E156" s="92">
        <v>4983913</v>
      </c>
      <c r="F156" s="96">
        <v>72</v>
      </c>
      <c r="G156" s="96">
        <v>1</v>
      </c>
      <c r="J156" s="42"/>
      <c r="K156" s="37"/>
      <c r="L156" s="37"/>
      <c r="M156" s="44"/>
      <c r="N156" s="44"/>
      <c r="O156" s="44"/>
      <c r="P156" s="44"/>
      <c r="Q156" s="40"/>
    </row>
    <row r="157" spans="1:17">
      <c r="A157" s="39" t="s">
        <v>290</v>
      </c>
      <c r="B157" s="47" t="s">
        <v>550</v>
      </c>
      <c r="C157" s="39" t="s">
        <v>96</v>
      </c>
      <c r="D157" s="47" t="s">
        <v>549</v>
      </c>
      <c r="E157" s="92">
        <v>1657059</v>
      </c>
      <c r="F157" s="96">
        <v>28</v>
      </c>
      <c r="G157" s="96">
        <v>1</v>
      </c>
      <c r="J157" s="42"/>
      <c r="K157" s="37"/>
      <c r="L157" s="37"/>
      <c r="M157" s="44"/>
      <c r="N157" s="44"/>
      <c r="O157" s="44"/>
      <c r="P157" s="44"/>
      <c r="Q157" s="40"/>
    </row>
    <row r="158" spans="1:17">
      <c r="A158" s="39" t="s">
        <v>291</v>
      </c>
      <c r="B158" s="47" t="s">
        <v>548</v>
      </c>
      <c r="C158" s="39" t="s">
        <v>122</v>
      </c>
      <c r="D158" s="47" t="s">
        <v>549</v>
      </c>
      <c r="E158" s="92">
        <v>22143409</v>
      </c>
      <c r="F158" s="96">
        <v>86</v>
      </c>
      <c r="G158" s="96">
        <v>1</v>
      </c>
      <c r="J158" s="42"/>
      <c r="K158" s="37"/>
      <c r="L158" s="37"/>
      <c r="M158" s="44"/>
      <c r="N158" s="44"/>
      <c r="O158" s="44"/>
      <c r="P158" s="44"/>
      <c r="Q158" s="40"/>
    </row>
    <row r="159" spans="1:17">
      <c r="A159" s="39" t="s">
        <v>292</v>
      </c>
      <c r="B159" s="47" t="s">
        <v>548</v>
      </c>
      <c r="C159" s="39" t="s">
        <v>103</v>
      </c>
      <c r="D159" s="47" t="s">
        <v>549</v>
      </c>
      <c r="E159" s="92">
        <v>9824416</v>
      </c>
      <c r="F159" s="96">
        <v>50</v>
      </c>
      <c r="G159" s="96">
        <v>1</v>
      </c>
      <c r="J159" s="42"/>
      <c r="K159" s="37"/>
      <c r="L159" s="37"/>
      <c r="M159" s="44"/>
      <c r="N159" s="44"/>
      <c r="O159" s="44"/>
      <c r="P159" s="44"/>
      <c r="Q159" s="40"/>
    </row>
    <row r="160" spans="1:17">
      <c r="A160" s="39" t="s">
        <v>618</v>
      </c>
      <c r="B160" s="47" t="s">
        <v>548</v>
      </c>
      <c r="C160" s="39" t="s">
        <v>139</v>
      </c>
      <c r="D160" s="47" t="s">
        <v>547</v>
      </c>
      <c r="E160" s="92">
        <v>6112230</v>
      </c>
      <c r="F160" s="96">
        <v>40</v>
      </c>
      <c r="G160" s="96">
        <v>1</v>
      </c>
      <c r="J160" s="42"/>
      <c r="K160" s="37"/>
      <c r="L160" s="37"/>
      <c r="M160" s="44"/>
      <c r="N160" s="44"/>
      <c r="O160" s="44"/>
      <c r="P160" s="44"/>
      <c r="Q160" s="40"/>
    </row>
    <row r="161" spans="1:17">
      <c r="A161" s="39" t="s">
        <v>293</v>
      </c>
      <c r="B161" s="47" t="s">
        <v>548</v>
      </c>
      <c r="C161" s="39" t="s">
        <v>133</v>
      </c>
      <c r="D161" s="47" t="s">
        <v>549</v>
      </c>
      <c r="E161" s="92">
        <v>9817427</v>
      </c>
      <c r="F161" s="96">
        <v>45</v>
      </c>
      <c r="G161" s="96">
        <v>1</v>
      </c>
      <c r="J161" s="42"/>
      <c r="K161" s="37"/>
      <c r="L161" s="37"/>
      <c r="M161" s="44"/>
      <c r="N161" s="44"/>
      <c r="O161" s="44"/>
      <c r="P161" s="44"/>
      <c r="Q161" s="40"/>
    </row>
    <row r="162" spans="1:17">
      <c r="A162" s="39" t="s">
        <v>294</v>
      </c>
      <c r="B162" s="47" t="s">
        <v>548</v>
      </c>
      <c r="C162" s="39" t="s">
        <v>132</v>
      </c>
      <c r="D162" s="47" t="s">
        <v>549</v>
      </c>
      <c r="E162" s="92">
        <v>8334778</v>
      </c>
      <c r="F162" s="96">
        <v>60</v>
      </c>
      <c r="G162" s="96">
        <v>1</v>
      </c>
      <c r="J162" s="42"/>
      <c r="K162" s="37"/>
      <c r="L162" s="37"/>
      <c r="M162" s="44"/>
      <c r="N162" s="44"/>
      <c r="O162" s="44"/>
      <c r="P162" s="44"/>
      <c r="Q162" s="40"/>
    </row>
    <row r="163" spans="1:17">
      <c r="A163" s="39" t="s">
        <v>295</v>
      </c>
      <c r="B163" s="47" t="s">
        <v>550</v>
      </c>
      <c r="C163" s="39" t="s">
        <v>96</v>
      </c>
      <c r="D163" s="47" t="s">
        <v>549</v>
      </c>
      <c r="E163" s="92">
        <v>2038062</v>
      </c>
      <c r="F163" s="96">
        <v>30</v>
      </c>
      <c r="G163" s="96">
        <v>1</v>
      </c>
      <c r="J163" s="42"/>
      <c r="K163" s="37"/>
      <c r="L163" s="37"/>
      <c r="M163" s="44"/>
      <c r="N163" s="44"/>
      <c r="O163" s="44"/>
      <c r="P163" s="44"/>
      <c r="Q163" s="40"/>
    </row>
    <row r="164" spans="1:17">
      <c r="A164" s="39" t="s">
        <v>296</v>
      </c>
      <c r="B164" s="47" t="s">
        <v>550</v>
      </c>
      <c r="C164" s="39" t="s">
        <v>113</v>
      </c>
      <c r="D164" s="47" t="s">
        <v>549</v>
      </c>
      <c r="E164" s="92">
        <v>1924565</v>
      </c>
      <c r="F164" s="96">
        <v>23</v>
      </c>
      <c r="G164" s="96">
        <v>1</v>
      </c>
      <c r="J164" s="42"/>
      <c r="K164" s="37"/>
      <c r="L164" s="37"/>
      <c r="M164" s="44"/>
      <c r="N164" s="44"/>
      <c r="O164" s="44"/>
      <c r="P164" s="44"/>
      <c r="Q164" s="40"/>
    </row>
    <row r="165" spans="1:17">
      <c r="A165" s="39" t="s">
        <v>297</v>
      </c>
      <c r="B165" s="47" t="s">
        <v>550</v>
      </c>
      <c r="C165" s="39" t="s">
        <v>118</v>
      </c>
      <c r="D165" s="47" t="s">
        <v>549</v>
      </c>
      <c r="E165" s="92">
        <v>6678575</v>
      </c>
      <c r="F165" s="96">
        <v>40</v>
      </c>
      <c r="G165" s="96">
        <v>1</v>
      </c>
      <c r="J165" s="42"/>
      <c r="K165" s="37"/>
      <c r="L165" s="37"/>
      <c r="M165" s="44"/>
      <c r="N165" s="44"/>
      <c r="O165" s="44"/>
      <c r="P165" s="44"/>
      <c r="Q165" s="40"/>
    </row>
    <row r="166" spans="1:17">
      <c r="A166" s="39" t="s">
        <v>298</v>
      </c>
      <c r="B166" s="47" t="s">
        <v>550</v>
      </c>
      <c r="C166" s="39" t="s">
        <v>28</v>
      </c>
      <c r="D166" s="47" t="s">
        <v>549</v>
      </c>
      <c r="E166" s="92">
        <v>4450436</v>
      </c>
      <c r="F166" s="96">
        <v>40</v>
      </c>
      <c r="G166" s="96">
        <v>1</v>
      </c>
      <c r="J166" s="42"/>
      <c r="K166" s="37"/>
      <c r="L166" s="37"/>
      <c r="M166" s="44"/>
      <c r="N166" s="44"/>
      <c r="O166" s="44"/>
      <c r="P166" s="44"/>
      <c r="Q166" s="40"/>
    </row>
    <row r="167" spans="1:17">
      <c r="A167" s="39" t="s">
        <v>299</v>
      </c>
      <c r="B167" s="47" t="s">
        <v>548</v>
      </c>
      <c r="C167" s="39" t="s">
        <v>111</v>
      </c>
      <c r="D167" s="47" t="s">
        <v>549</v>
      </c>
      <c r="E167" s="92">
        <v>6498217</v>
      </c>
      <c r="F167" s="96">
        <v>64</v>
      </c>
      <c r="G167" s="96">
        <v>1</v>
      </c>
      <c r="J167" s="42"/>
      <c r="K167" s="37"/>
      <c r="L167" s="37"/>
      <c r="M167" s="44"/>
      <c r="N167" s="44"/>
      <c r="O167" s="44"/>
      <c r="P167" s="44"/>
      <c r="Q167" s="40"/>
    </row>
    <row r="168" spans="1:17">
      <c r="A168" s="39" t="s">
        <v>300</v>
      </c>
      <c r="B168" s="47" t="s">
        <v>548</v>
      </c>
      <c r="C168" s="39" t="s">
        <v>140</v>
      </c>
      <c r="D168" s="47" t="s">
        <v>549</v>
      </c>
      <c r="E168" s="92">
        <v>10638769</v>
      </c>
      <c r="F168" s="96">
        <v>70</v>
      </c>
      <c r="G168" s="96">
        <v>1</v>
      </c>
      <c r="J168" s="42"/>
      <c r="K168" s="37"/>
      <c r="L168" s="37"/>
      <c r="M168" s="44"/>
      <c r="N168" s="44"/>
      <c r="O168" s="44"/>
      <c r="P168" s="44"/>
      <c r="Q168" s="40"/>
    </row>
    <row r="169" spans="1:17">
      <c r="A169" s="39" t="s">
        <v>301</v>
      </c>
      <c r="B169" s="47" t="s">
        <v>550</v>
      </c>
      <c r="C169" s="39" t="s">
        <v>126</v>
      </c>
      <c r="D169" s="47" t="s">
        <v>549</v>
      </c>
      <c r="E169" s="92">
        <v>6681015</v>
      </c>
      <c r="F169" s="96">
        <v>34</v>
      </c>
      <c r="G169" s="96">
        <v>1</v>
      </c>
      <c r="J169" s="42"/>
      <c r="K169" s="37"/>
      <c r="L169" s="37"/>
      <c r="M169" s="44"/>
      <c r="N169" s="44"/>
      <c r="O169" s="44"/>
      <c r="P169" s="44"/>
      <c r="Q169" s="40"/>
    </row>
    <row r="170" spans="1:17">
      <c r="A170" s="39" t="s">
        <v>581</v>
      </c>
      <c r="B170" s="47" t="s">
        <v>550</v>
      </c>
      <c r="C170" s="39" t="s">
        <v>134</v>
      </c>
      <c r="D170" s="47" t="s">
        <v>549</v>
      </c>
      <c r="E170" s="92">
        <v>1489202</v>
      </c>
      <c r="F170" s="96">
        <v>15</v>
      </c>
      <c r="G170" s="96">
        <v>1</v>
      </c>
      <c r="J170" s="42"/>
      <c r="K170" s="37"/>
      <c r="L170" s="37"/>
      <c r="M170" s="44"/>
      <c r="N170" s="44"/>
      <c r="O170" s="44"/>
      <c r="P170" s="44"/>
      <c r="Q170" s="40"/>
    </row>
    <row r="171" spans="1:17">
      <c r="A171" s="39" t="s">
        <v>302</v>
      </c>
      <c r="B171" s="47" t="s">
        <v>550</v>
      </c>
      <c r="C171" s="39" t="s">
        <v>110</v>
      </c>
      <c r="D171" s="47" t="s">
        <v>549</v>
      </c>
      <c r="E171" s="92">
        <v>2784972</v>
      </c>
      <c r="F171" s="96">
        <v>23</v>
      </c>
      <c r="G171" s="96">
        <v>1</v>
      </c>
      <c r="J171" s="42"/>
      <c r="K171" s="37"/>
      <c r="L171" s="37"/>
      <c r="M171" s="44"/>
      <c r="N171" s="44"/>
      <c r="O171" s="44"/>
      <c r="P171" s="44"/>
      <c r="Q171" s="40"/>
    </row>
    <row r="172" spans="1:17">
      <c r="A172" s="39" t="s">
        <v>303</v>
      </c>
      <c r="B172" s="47" t="s">
        <v>550</v>
      </c>
      <c r="C172" s="39" t="s">
        <v>117</v>
      </c>
      <c r="D172" s="47" t="s">
        <v>549</v>
      </c>
      <c r="E172" s="92">
        <v>3610356</v>
      </c>
      <c r="F172" s="96">
        <v>36</v>
      </c>
      <c r="G172" s="96">
        <v>1</v>
      </c>
      <c r="J172" s="42"/>
      <c r="K172" s="37"/>
      <c r="L172" s="37"/>
      <c r="M172" s="44"/>
      <c r="N172" s="44"/>
      <c r="O172" s="44"/>
      <c r="P172" s="44"/>
      <c r="Q172" s="40"/>
    </row>
    <row r="173" spans="1:17">
      <c r="A173" s="39" t="s">
        <v>304</v>
      </c>
      <c r="B173" s="47" t="s">
        <v>548</v>
      </c>
      <c r="C173" s="39" t="s">
        <v>103</v>
      </c>
      <c r="D173" s="47" t="s">
        <v>547</v>
      </c>
      <c r="E173" s="92">
        <v>5937095</v>
      </c>
      <c r="F173" s="96">
        <v>70</v>
      </c>
      <c r="G173" s="96">
        <v>1</v>
      </c>
      <c r="J173" s="42"/>
      <c r="K173" s="37"/>
      <c r="L173" s="37"/>
      <c r="M173" s="44"/>
      <c r="N173" s="44"/>
      <c r="O173" s="44"/>
      <c r="P173" s="44"/>
      <c r="Q173" s="40"/>
    </row>
    <row r="174" spans="1:17">
      <c r="A174" s="39" t="s">
        <v>305</v>
      </c>
      <c r="B174" s="47" t="s">
        <v>548</v>
      </c>
      <c r="C174" s="39" t="s">
        <v>97</v>
      </c>
      <c r="D174" s="47" t="s">
        <v>549</v>
      </c>
      <c r="E174" s="92">
        <v>2284956</v>
      </c>
      <c r="F174" s="96">
        <v>30</v>
      </c>
      <c r="G174" s="96">
        <v>1</v>
      </c>
      <c r="J174" s="42"/>
      <c r="K174" s="37"/>
      <c r="L174" s="37"/>
      <c r="M174" s="44"/>
      <c r="N174" s="44"/>
      <c r="O174" s="44"/>
      <c r="P174" s="44"/>
      <c r="Q174" s="40"/>
    </row>
    <row r="175" spans="1:17">
      <c r="A175" s="39" t="s">
        <v>619</v>
      </c>
      <c r="B175" s="47" t="s">
        <v>548</v>
      </c>
      <c r="C175" s="39" t="s">
        <v>97</v>
      </c>
      <c r="D175" s="47" t="s">
        <v>547</v>
      </c>
      <c r="E175" s="92">
        <v>5692973</v>
      </c>
      <c r="F175" s="96">
        <v>78</v>
      </c>
      <c r="G175" s="96">
        <v>1</v>
      </c>
      <c r="J175" s="42"/>
      <c r="K175" s="37"/>
      <c r="L175" s="37"/>
      <c r="M175" s="44"/>
      <c r="N175" s="44"/>
      <c r="O175" s="44"/>
      <c r="P175" s="44"/>
      <c r="Q175" s="40"/>
    </row>
    <row r="176" spans="1:17">
      <c r="A176" s="39" t="s">
        <v>306</v>
      </c>
      <c r="B176" s="47" t="s">
        <v>548</v>
      </c>
      <c r="C176" s="39" t="s">
        <v>116</v>
      </c>
      <c r="D176" s="47" t="s">
        <v>547</v>
      </c>
      <c r="E176" s="92">
        <v>12428026</v>
      </c>
      <c r="F176" s="96">
        <v>93</v>
      </c>
      <c r="G176" s="96">
        <v>1</v>
      </c>
      <c r="J176" s="42"/>
      <c r="K176" s="37"/>
      <c r="L176" s="37"/>
      <c r="M176" s="44"/>
      <c r="N176" s="44"/>
      <c r="O176" s="44"/>
      <c r="P176" s="44"/>
      <c r="Q176" s="40"/>
    </row>
    <row r="177" spans="1:17">
      <c r="A177" s="39" t="s">
        <v>307</v>
      </c>
      <c r="B177" s="47" t="s">
        <v>548</v>
      </c>
      <c r="C177" s="39" t="s">
        <v>144</v>
      </c>
      <c r="D177" s="47" t="s">
        <v>549</v>
      </c>
      <c r="E177" s="92">
        <v>796533</v>
      </c>
      <c r="F177" s="96">
        <v>22</v>
      </c>
      <c r="G177" s="96">
        <v>1</v>
      </c>
      <c r="J177" s="42"/>
      <c r="K177" s="37"/>
      <c r="L177" s="37"/>
      <c r="M177" s="44"/>
      <c r="N177" s="44"/>
      <c r="O177" s="44"/>
      <c r="P177" s="44"/>
      <c r="Q177" s="40"/>
    </row>
    <row r="178" spans="1:17">
      <c r="A178" s="39" t="s">
        <v>308</v>
      </c>
      <c r="B178" s="47" t="s">
        <v>550</v>
      </c>
      <c r="C178" s="39" t="s">
        <v>117</v>
      </c>
      <c r="D178" s="47" t="s">
        <v>549</v>
      </c>
      <c r="E178" s="92">
        <v>11964690</v>
      </c>
      <c r="F178" s="96">
        <v>80</v>
      </c>
      <c r="G178" s="96">
        <v>1</v>
      </c>
      <c r="J178" s="42"/>
      <c r="K178" s="37"/>
      <c r="L178" s="37"/>
      <c r="M178" s="44"/>
      <c r="N178" s="44"/>
      <c r="O178" s="44"/>
      <c r="P178" s="44"/>
      <c r="Q178" s="40"/>
    </row>
    <row r="179" spans="1:17">
      <c r="A179" s="39" t="s">
        <v>309</v>
      </c>
      <c r="B179" s="47" t="s">
        <v>548</v>
      </c>
      <c r="C179" s="39" t="s">
        <v>107</v>
      </c>
      <c r="D179" s="47" t="s">
        <v>549</v>
      </c>
      <c r="E179" s="92">
        <v>16271297</v>
      </c>
      <c r="F179" s="96">
        <v>80</v>
      </c>
      <c r="G179" s="96">
        <v>1</v>
      </c>
      <c r="J179" s="42"/>
      <c r="K179" s="37"/>
      <c r="L179" s="37"/>
      <c r="M179" s="44"/>
      <c r="N179" s="44"/>
      <c r="O179" s="44"/>
      <c r="P179" s="44"/>
      <c r="Q179" s="40"/>
    </row>
    <row r="180" spans="1:17">
      <c r="A180" s="39" t="s">
        <v>310</v>
      </c>
      <c r="B180" s="47" t="s">
        <v>548</v>
      </c>
      <c r="C180" s="39" t="s">
        <v>100</v>
      </c>
      <c r="D180" s="47" t="s">
        <v>547</v>
      </c>
      <c r="E180" s="92">
        <v>641487</v>
      </c>
      <c r="F180" s="96">
        <v>30</v>
      </c>
      <c r="G180" s="96">
        <v>1</v>
      </c>
      <c r="J180" s="42"/>
      <c r="K180" s="37"/>
      <c r="L180" s="37"/>
      <c r="M180" s="44"/>
      <c r="N180" s="44"/>
      <c r="O180" s="44"/>
      <c r="P180" s="44"/>
      <c r="Q180" s="40"/>
    </row>
    <row r="181" spans="1:17">
      <c r="A181" s="39" t="s">
        <v>311</v>
      </c>
      <c r="B181" s="47" t="s">
        <v>548</v>
      </c>
      <c r="C181" s="39" t="s">
        <v>107</v>
      </c>
      <c r="D181" s="47" t="s">
        <v>549</v>
      </c>
      <c r="E181" s="92">
        <v>16108356</v>
      </c>
      <c r="F181" s="96">
        <v>73</v>
      </c>
      <c r="G181" s="96">
        <v>1</v>
      </c>
      <c r="J181" s="42"/>
      <c r="K181" s="37"/>
      <c r="L181" s="37"/>
      <c r="M181" s="44"/>
      <c r="N181" s="44"/>
      <c r="O181" s="44"/>
      <c r="P181" s="44"/>
      <c r="Q181" s="40"/>
    </row>
    <row r="182" spans="1:17">
      <c r="A182" s="39" t="s">
        <v>312</v>
      </c>
      <c r="B182" s="47" t="s">
        <v>548</v>
      </c>
      <c r="C182" s="39" t="s">
        <v>102</v>
      </c>
      <c r="D182" s="47" t="s">
        <v>549</v>
      </c>
      <c r="E182" s="92">
        <v>8492383</v>
      </c>
      <c r="F182" s="96">
        <v>47</v>
      </c>
      <c r="G182" s="96">
        <v>1</v>
      </c>
      <c r="J182" s="42"/>
      <c r="K182" s="37"/>
      <c r="L182" s="37"/>
      <c r="M182" s="44"/>
      <c r="N182" s="44"/>
      <c r="O182" s="44"/>
      <c r="P182" s="44"/>
      <c r="Q182" s="40"/>
    </row>
    <row r="183" spans="1:17">
      <c r="A183" s="39" t="s">
        <v>313</v>
      </c>
      <c r="B183" s="47" t="s">
        <v>548</v>
      </c>
      <c r="C183" s="39" t="s">
        <v>140</v>
      </c>
      <c r="D183" s="47" t="s">
        <v>547</v>
      </c>
      <c r="E183" s="92">
        <v>2798661</v>
      </c>
      <c r="F183" s="96">
        <v>50</v>
      </c>
      <c r="G183" s="96">
        <v>1</v>
      </c>
      <c r="J183" s="42"/>
      <c r="K183" s="37"/>
      <c r="L183" s="37"/>
      <c r="M183" s="44"/>
      <c r="N183" s="44"/>
      <c r="O183" s="44"/>
      <c r="P183" s="44"/>
      <c r="Q183" s="40"/>
    </row>
    <row r="184" spans="1:17">
      <c r="A184" s="39" t="s">
        <v>575</v>
      </c>
      <c r="B184" s="47" t="s">
        <v>548</v>
      </c>
      <c r="C184" s="39" t="s">
        <v>132</v>
      </c>
      <c r="D184" s="47" t="s">
        <v>547</v>
      </c>
      <c r="E184" s="92">
        <v>2521676</v>
      </c>
      <c r="F184" s="96">
        <v>80</v>
      </c>
      <c r="G184" s="96">
        <v>1</v>
      </c>
      <c r="J184" s="42"/>
      <c r="K184" s="37"/>
      <c r="L184" s="37"/>
      <c r="M184" s="44"/>
      <c r="N184" s="44"/>
      <c r="O184" s="44"/>
      <c r="P184" s="44"/>
      <c r="Q184" s="40"/>
    </row>
    <row r="185" spans="1:17">
      <c r="A185" s="39" t="s">
        <v>620</v>
      </c>
      <c r="B185" s="47" t="s">
        <v>548</v>
      </c>
      <c r="C185" s="39" t="s">
        <v>156</v>
      </c>
      <c r="D185" s="47" t="s">
        <v>547</v>
      </c>
      <c r="E185" s="92">
        <v>2353584</v>
      </c>
      <c r="F185" s="96">
        <v>50</v>
      </c>
      <c r="G185" s="96">
        <v>1</v>
      </c>
      <c r="J185" s="42"/>
      <c r="K185" s="37"/>
      <c r="L185" s="37"/>
      <c r="M185" s="44"/>
      <c r="N185" s="44"/>
      <c r="O185" s="44"/>
      <c r="P185" s="44"/>
      <c r="Q185" s="40"/>
    </row>
    <row r="186" spans="1:17">
      <c r="A186" s="39" t="s">
        <v>314</v>
      </c>
      <c r="B186" s="47" t="s">
        <v>548</v>
      </c>
      <c r="C186" s="39" t="s">
        <v>124</v>
      </c>
      <c r="D186" s="47" t="s">
        <v>547</v>
      </c>
      <c r="E186" s="92">
        <v>2376750</v>
      </c>
      <c r="F186" s="96">
        <v>41</v>
      </c>
      <c r="G186" s="96">
        <v>1</v>
      </c>
      <c r="J186" s="42"/>
      <c r="K186" s="37"/>
      <c r="L186" s="37"/>
      <c r="M186" s="44"/>
      <c r="N186" s="44"/>
      <c r="O186" s="44"/>
      <c r="P186" s="44"/>
      <c r="Q186" s="40"/>
    </row>
    <row r="187" spans="1:17">
      <c r="A187" s="39" t="s">
        <v>315</v>
      </c>
      <c r="B187" s="47" t="s">
        <v>548</v>
      </c>
      <c r="C187" s="39" t="s">
        <v>122</v>
      </c>
      <c r="D187" s="47" t="s">
        <v>549</v>
      </c>
      <c r="E187" s="92">
        <v>17850100</v>
      </c>
      <c r="F187" s="96">
        <v>80</v>
      </c>
      <c r="G187" s="96">
        <v>1</v>
      </c>
      <c r="J187" s="42"/>
      <c r="K187" s="37"/>
      <c r="L187" s="37"/>
      <c r="M187" s="44"/>
      <c r="N187" s="44"/>
      <c r="O187" s="44"/>
      <c r="P187" s="44"/>
      <c r="Q187" s="40"/>
    </row>
    <row r="188" spans="1:17">
      <c r="A188" s="39" t="s">
        <v>316</v>
      </c>
      <c r="B188" s="47" t="s">
        <v>548</v>
      </c>
      <c r="C188" s="39" t="s">
        <v>130</v>
      </c>
      <c r="D188" s="47" t="s">
        <v>549</v>
      </c>
      <c r="E188" s="92">
        <v>7995975</v>
      </c>
      <c r="F188" s="96">
        <v>67</v>
      </c>
      <c r="G188" s="96">
        <v>1</v>
      </c>
      <c r="J188" s="42"/>
      <c r="K188" s="37"/>
      <c r="L188" s="37"/>
      <c r="M188" s="44"/>
      <c r="N188" s="44"/>
      <c r="O188" s="44"/>
      <c r="P188" s="44"/>
      <c r="Q188" s="40"/>
    </row>
    <row r="189" spans="1:17">
      <c r="A189" s="39" t="s">
        <v>317</v>
      </c>
      <c r="B189" s="47" t="s">
        <v>548</v>
      </c>
      <c r="C189" s="39" t="s">
        <v>116</v>
      </c>
      <c r="D189" s="47" t="s">
        <v>547</v>
      </c>
      <c r="E189" s="92">
        <v>20791774</v>
      </c>
      <c r="F189" s="96">
        <v>90</v>
      </c>
      <c r="G189" s="96">
        <v>1</v>
      </c>
      <c r="J189" s="42"/>
      <c r="K189" s="37"/>
      <c r="L189" s="37"/>
      <c r="M189" s="44"/>
      <c r="N189" s="44"/>
      <c r="O189" s="44"/>
      <c r="P189" s="44"/>
      <c r="Q189" s="40"/>
    </row>
    <row r="190" spans="1:17">
      <c r="A190" s="39" t="s">
        <v>318</v>
      </c>
      <c r="B190" s="47" t="s">
        <v>550</v>
      </c>
      <c r="C190" s="39" t="s">
        <v>118</v>
      </c>
      <c r="D190" s="47" t="s">
        <v>547</v>
      </c>
      <c r="E190" s="92">
        <v>417974</v>
      </c>
      <c r="F190" s="96">
        <v>10</v>
      </c>
      <c r="G190" s="96">
        <v>1</v>
      </c>
      <c r="J190" s="42"/>
      <c r="K190" s="37"/>
      <c r="L190" s="37"/>
      <c r="M190" s="44"/>
      <c r="N190" s="44"/>
      <c r="O190" s="44"/>
      <c r="P190" s="44"/>
      <c r="Q190" s="40"/>
    </row>
    <row r="191" spans="1:17">
      <c r="A191" s="39" t="s">
        <v>319</v>
      </c>
      <c r="B191" s="47" t="s">
        <v>550</v>
      </c>
      <c r="C191" s="39" t="s">
        <v>135</v>
      </c>
      <c r="D191" s="47" t="s">
        <v>549</v>
      </c>
      <c r="E191" s="92">
        <v>5465047</v>
      </c>
      <c r="F191" s="96">
        <v>65</v>
      </c>
      <c r="G191" s="96">
        <v>1</v>
      </c>
      <c r="J191" s="42"/>
      <c r="K191" s="37"/>
      <c r="L191" s="37"/>
      <c r="M191" s="44"/>
      <c r="N191" s="44"/>
      <c r="O191" s="44"/>
      <c r="P191" s="44"/>
      <c r="Q191" s="40"/>
    </row>
    <row r="192" spans="1:17">
      <c r="A192" s="39" t="s">
        <v>320</v>
      </c>
      <c r="B192" s="47" t="s">
        <v>548</v>
      </c>
      <c r="C192" s="39" t="s">
        <v>154</v>
      </c>
      <c r="D192" s="47" t="s">
        <v>547</v>
      </c>
      <c r="E192" s="92">
        <v>5797481</v>
      </c>
      <c r="F192" s="96">
        <v>91</v>
      </c>
      <c r="G192" s="96">
        <v>1</v>
      </c>
      <c r="J192" s="42"/>
      <c r="K192" s="37"/>
      <c r="L192" s="37"/>
      <c r="M192" s="44"/>
      <c r="N192" s="44"/>
      <c r="O192" s="44"/>
      <c r="P192" s="44"/>
      <c r="Q192" s="40"/>
    </row>
    <row r="193" spans="1:17">
      <c r="A193" s="39" t="s">
        <v>321</v>
      </c>
      <c r="B193" s="47" t="s">
        <v>548</v>
      </c>
      <c r="C193" s="39" t="s">
        <v>154</v>
      </c>
      <c r="D193" s="47" t="s">
        <v>547</v>
      </c>
      <c r="E193" s="92">
        <v>4585238</v>
      </c>
      <c r="F193" s="96">
        <v>55</v>
      </c>
      <c r="G193" s="96">
        <v>1</v>
      </c>
      <c r="J193" s="42"/>
      <c r="K193" s="37"/>
      <c r="L193" s="37"/>
      <c r="M193" s="44"/>
      <c r="N193" s="44"/>
      <c r="O193" s="44"/>
      <c r="P193" s="44"/>
      <c r="Q193" s="40"/>
    </row>
    <row r="194" spans="1:17">
      <c r="A194" s="39" t="s">
        <v>621</v>
      </c>
      <c r="B194" s="47" t="s">
        <v>550</v>
      </c>
      <c r="C194" s="39" t="s">
        <v>121</v>
      </c>
      <c r="D194" s="47" t="s">
        <v>547</v>
      </c>
      <c r="E194" s="92">
        <v>2460785</v>
      </c>
      <c r="F194" s="96">
        <v>36</v>
      </c>
      <c r="G194" s="96">
        <v>1</v>
      </c>
      <c r="J194" s="42"/>
      <c r="K194" s="37"/>
      <c r="L194" s="37"/>
      <c r="M194" s="44"/>
      <c r="N194" s="44"/>
      <c r="O194" s="44"/>
      <c r="P194" s="44"/>
      <c r="Q194" s="40"/>
    </row>
    <row r="195" spans="1:17">
      <c r="A195" s="39" t="s">
        <v>322</v>
      </c>
      <c r="B195" s="47" t="s">
        <v>550</v>
      </c>
      <c r="C195" s="39" t="s">
        <v>121</v>
      </c>
      <c r="D195" s="47" t="s">
        <v>547</v>
      </c>
      <c r="E195" s="92">
        <v>6960226</v>
      </c>
      <c r="F195" s="96">
        <v>83</v>
      </c>
      <c r="G195" s="96">
        <v>1</v>
      </c>
      <c r="J195" s="42"/>
      <c r="K195" s="37"/>
      <c r="L195" s="37"/>
      <c r="M195" s="44"/>
      <c r="N195" s="44"/>
      <c r="O195" s="44"/>
      <c r="P195" s="44"/>
      <c r="Q195" s="40"/>
    </row>
    <row r="196" spans="1:17">
      <c r="A196" s="39" t="s">
        <v>323</v>
      </c>
      <c r="B196" s="47" t="s">
        <v>548</v>
      </c>
      <c r="C196" s="39" t="s">
        <v>154</v>
      </c>
      <c r="D196" s="47" t="s">
        <v>549</v>
      </c>
      <c r="E196" s="92">
        <v>13433101</v>
      </c>
      <c r="F196" s="96">
        <v>65</v>
      </c>
      <c r="G196" s="96">
        <v>1</v>
      </c>
      <c r="J196" s="42"/>
      <c r="K196" s="37"/>
      <c r="L196" s="37"/>
      <c r="M196" s="44"/>
      <c r="N196" s="44"/>
      <c r="O196" s="44"/>
      <c r="P196" s="44"/>
      <c r="Q196" s="40"/>
    </row>
    <row r="197" spans="1:17">
      <c r="A197" s="39" t="s">
        <v>592</v>
      </c>
      <c r="B197" s="47" t="s">
        <v>550</v>
      </c>
      <c r="C197" s="39" t="s">
        <v>126</v>
      </c>
      <c r="D197" s="47" t="s">
        <v>547</v>
      </c>
      <c r="E197" s="92">
        <v>4200418</v>
      </c>
      <c r="F197" s="96">
        <v>42</v>
      </c>
      <c r="G197" s="96">
        <v>1</v>
      </c>
      <c r="J197" s="42"/>
      <c r="K197" s="37"/>
      <c r="L197" s="37"/>
      <c r="M197" s="44"/>
      <c r="N197" s="44"/>
      <c r="O197" s="44"/>
      <c r="P197" s="44"/>
      <c r="Q197" s="40"/>
    </row>
    <row r="198" spans="1:17">
      <c r="A198" s="39" t="s">
        <v>324</v>
      </c>
      <c r="B198" s="47" t="s">
        <v>548</v>
      </c>
      <c r="C198" s="39" t="s">
        <v>154</v>
      </c>
      <c r="D198" s="47" t="s">
        <v>547</v>
      </c>
      <c r="E198" s="92">
        <v>6911574</v>
      </c>
      <c r="F198" s="96">
        <v>70</v>
      </c>
      <c r="G198" s="96">
        <v>1</v>
      </c>
      <c r="J198" s="42"/>
      <c r="K198" s="37"/>
      <c r="L198" s="37"/>
      <c r="M198" s="44"/>
      <c r="N198" s="44"/>
      <c r="O198" s="44"/>
      <c r="P198" s="44"/>
      <c r="Q198" s="40"/>
    </row>
    <row r="199" spans="1:17">
      <c r="A199" s="39" t="s">
        <v>325</v>
      </c>
      <c r="B199" s="47" t="s">
        <v>548</v>
      </c>
      <c r="C199" s="39" t="s">
        <v>97</v>
      </c>
      <c r="D199" s="47" t="s">
        <v>549</v>
      </c>
      <c r="E199" s="92">
        <v>10581964</v>
      </c>
      <c r="F199" s="96">
        <v>100</v>
      </c>
      <c r="G199" s="96">
        <v>1</v>
      </c>
      <c r="J199" s="42"/>
      <c r="K199" s="37"/>
      <c r="L199" s="37"/>
      <c r="M199" s="44"/>
      <c r="N199" s="44"/>
      <c r="O199" s="44"/>
      <c r="P199" s="44"/>
      <c r="Q199" s="40"/>
    </row>
    <row r="200" spans="1:17">
      <c r="A200" s="39" t="s">
        <v>326</v>
      </c>
      <c r="B200" s="47" t="s">
        <v>550</v>
      </c>
      <c r="C200" s="39" t="s">
        <v>117</v>
      </c>
      <c r="D200" s="47" t="s">
        <v>549</v>
      </c>
      <c r="E200" s="92">
        <v>4366204</v>
      </c>
      <c r="F200" s="96">
        <v>47</v>
      </c>
      <c r="G200" s="96">
        <v>1</v>
      </c>
      <c r="J200" s="42"/>
      <c r="K200" s="37"/>
      <c r="L200" s="37"/>
      <c r="M200" s="44"/>
      <c r="N200" s="44"/>
      <c r="O200" s="44"/>
      <c r="P200" s="44"/>
      <c r="Q200" s="40"/>
    </row>
    <row r="201" spans="1:17">
      <c r="A201" s="39" t="s">
        <v>327</v>
      </c>
      <c r="B201" s="47" t="s">
        <v>548</v>
      </c>
      <c r="C201" s="39" t="s">
        <v>109</v>
      </c>
      <c r="D201" s="47" t="s">
        <v>549</v>
      </c>
      <c r="E201" s="92">
        <v>4253111</v>
      </c>
      <c r="F201" s="96">
        <v>46</v>
      </c>
      <c r="G201" s="96">
        <v>1</v>
      </c>
      <c r="J201" s="42"/>
      <c r="K201" s="37"/>
      <c r="L201" s="37"/>
      <c r="M201" s="44"/>
      <c r="N201" s="44"/>
      <c r="O201" s="44"/>
      <c r="P201" s="44"/>
      <c r="Q201" s="40"/>
    </row>
    <row r="202" spans="1:17">
      <c r="A202" s="39" t="s">
        <v>328</v>
      </c>
      <c r="B202" s="47" t="s">
        <v>550</v>
      </c>
      <c r="C202" s="39" t="s">
        <v>115</v>
      </c>
      <c r="D202" s="47" t="s">
        <v>547</v>
      </c>
      <c r="E202" s="92">
        <v>2896126</v>
      </c>
      <c r="F202" s="96">
        <v>60</v>
      </c>
      <c r="G202" s="96">
        <v>1</v>
      </c>
      <c r="J202" s="42"/>
      <c r="K202" s="37"/>
      <c r="L202" s="37"/>
      <c r="M202" s="44"/>
      <c r="N202" s="44"/>
      <c r="O202" s="44"/>
      <c r="P202" s="44"/>
      <c r="Q202" s="40"/>
    </row>
    <row r="203" spans="1:17">
      <c r="A203" s="39" t="s">
        <v>329</v>
      </c>
      <c r="B203" s="47" t="s">
        <v>548</v>
      </c>
      <c r="C203" s="39" t="s">
        <v>111</v>
      </c>
      <c r="D203" s="47" t="s">
        <v>547</v>
      </c>
      <c r="E203" s="92">
        <v>2093390</v>
      </c>
      <c r="F203" s="96">
        <v>29</v>
      </c>
      <c r="G203" s="96">
        <v>1</v>
      </c>
      <c r="J203" s="42"/>
      <c r="K203" s="37"/>
      <c r="L203" s="37"/>
      <c r="M203" s="44"/>
      <c r="N203" s="44"/>
      <c r="O203" s="44"/>
      <c r="P203" s="44"/>
      <c r="Q203" s="40"/>
    </row>
    <row r="204" spans="1:17">
      <c r="A204" s="39" t="s">
        <v>330</v>
      </c>
      <c r="B204" s="47" t="s">
        <v>548</v>
      </c>
      <c r="C204" s="39" t="s">
        <v>103</v>
      </c>
      <c r="D204" s="47" t="s">
        <v>549</v>
      </c>
      <c r="E204" s="92">
        <v>24196717</v>
      </c>
      <c r="F204" s="96">
        <v>86</v>
      </c>
      <c r="G204" s="96">
        <v>1</v>
      </c>
      <c r="J204" s="42"/>
      <c r="K204" s="37"/>
      <c r="L204" s="37"/>
      <c r="M204" s="44"/>
      <c r="N204" s="44"/>
      <c r="O204" s="44"/>
      <c r="P204" s="44"/>
      <c r="Q204" s="40"/>
    </row>
    <row r="205" spans="1:17">
      <c r="A205" s="39" t="s">
        <v>622</v>
      </c>
      <c r="B205" s="47" t="s">
        <v>548</v>
      </c>
      <c r="C205" s="39" t="s">
        <v>137</v>
      </c>
      <c r="D205" s="47" t="s">
        <v>547</v>
      </c>
      <c r="E205" s="92">
        <v>2851149</v>
      </c>
      <c r="F205" s="96">
        <v>39</v>
      </c>
      <c r="G205" s="96">
        <v>1</v>
      </c>
      <c r="J205" s="42"/>
      <c r="K205" s="37"/>
      <c r="L205" s="37"/>
      <c r="M205" s="44"/>
      <c r="N205" s="44"/>
      <c r="O205" s="44"/>
      <c r="P205" s="44"/>
      <c r="Q205" s="40"/>
    </row>
    <row r="206" spans="1:17">
      <c r="A206" s="39" t="s">
        <v>331</v>
      </c>
      <c r="B206" s="47" t="s">
        <v>548</v>
      </c>
      <c r="C206" s="39" t="s">
        <v>103</v>
      </c>
      <c r="D206" s="47" t="s">
        <v>549</v>
      </c>
      <c r="E206" s="92">
        <v>5594737</v>
      </c>
      <c r="F206" s="96">
        <v>50</v>
      </c>
      <c r="G206" s="96">
        <v>1</v>
      </c>
      <c r="J206" s="42"/>
      <c r="K206" s="37"/>
      <c r="L206" s="37"/>
      <c r="M206" s="44"/>
      <c r="N206" s="44"/>
      <c r="O206" s="44"/>
      <c r="P206" s="44"/>
      <c r="Q206" s="40"/>
    </row>
    <row r="207" spans="1:17">
      <c r="A207" s="39" t="s">
        <v>332</v>
      </c>
      <c r="B207" s="47" t="s">
        <v>550</v>
      </c>
      <c r="C207" s="39" t="s">
        <v>21</v>
      </c>
      <c r="D207" s="47" t="s">
        <v>547</v>
      </c>
      <c r="E207" s="92">
        <v>2317948</v>
      </c>
      <c r="F207" s="96">
        <v>45</v>
      </c>
      <c r="G207" s="96">
        <v>1</v>
      </c>
      <c r="J207" s="42"/>
      <c r="K207" s="37"/>
      <c r="L207" s="37"/>
      <c r="M207" s="44"/>
      <c r="N207" s="44"/>
      <c r="O207" s="44"/>
      <c r="P207" s="44"/>
      <c r="Q207" s="40"/>
    </row>
    <row r="208" spans="1:17">
      <c r="A208" s="39" t="s">
        <v>333</v>
      </c>
      <c r="B208" s="47" t="s">
        <v>548</v>
      </c>
      <c r="C208" s="39" t="s">
        <v>116</v>
      </c>
      <c r="D208" s="47" t="s">
        <v>549</v>
      </c>
      <c r="E208" s="92">
        <v>24046215</v>
      </c>
      <c r="F208" s="96">
        <v>89</v>
      </c>
      <c r="G208" s="96">
        <v>1</v>
      </c>
      <c r="J208" s="42"/>
      <c r="K208" s="37"/>
      <c r="L208" s="37"/>
      <c r="M208" s="44"/>
      <c r="N208" s="44"/>
      <c r="O208" s="44"/>
      <c r="P208" s="44"/>
      <c r="Q208" s="40"/>
    </row>
    <row r="209" spans="1:17">
      <c r="A209" s="39" t="s">
        <v>334</v>
      </c>
      <c r="B209" s="47" t="s">
        <v>550</v>
      </c>
      <c r="C209" s="39" t="s">
        <v>135</v>
      </c>
      <c r="D209" s="47" t="s">
        <v>547</v>
      </c>
      <c r="E209" s="92">
        <v>7478517</v>
      </c>
      <c r="F209" s="96">
        <v>76</v>
      </c>
      <c r="G209" s="96">
        <v>1</v>
      </c>
      <c r="J209" s="42"/>
      <c r="K209" s="37"/>
      <c r="L209" s="37"/>
      <c r="M209" s="44"/>
      <c r="N209" s="44"/>
      <c r="O209" s="44"/>
      <c r="P209" s="44"/>
      <c r="Q209" s="40"/>
    </row>
    <row r="210" spans="1:17">
      <c r="A210" s="39" t="s">
        <v>335</v>
      </c>
      <c r="B210" s="47" t="s">
        <v>548</v>
      </c>
      <c r="C210" s="39" t="s">
        <v>140</v>
      </c>
      <c r="D210" s="47" t="s">
        <v>549</v>
      </c>
      <c r="E210" s="92">
        <v>4948839</v>
      </c>
      <c r="F210" s="96">
        <v>33</v>
      </c>
      <c r="G210" s="96">
        <v>1</v>
      </c>
      <c r="J210" s="42"/>
      <c r="K210" s="37"/>
      <c r="L210" s="37"/>
      <c r="M210" s="44"/>
      <c r="N210" s="44"/>
      <c r="O210" s="44"/>
      <c r="P210" s="44"/>
      <c r="Q210" s="40"/>
    </row>
    <row r="211" spans="1:17">
      <c r="A211" s="39" t="s">
        <v>336</v>
      </c>
      <c r="B211" s="47" t="s">
        <v>548</v>
      </c>
      <c r="C211" s="39" t="s">
        <v>140</v>
      </c>
      <c r="D211" s="47" t="s">
        <v>549</v>
      </c>
      <c r="E211" s="92">
        <v>1242214</v>
      </c>
      <c r="F211" s="96">
        <v>40</v>
      </c>
      <c r="G211" s="96">
        <v>1</v>
      </c>
      <c r="J211" s="42"/>
      <c r="K211" s="37"/>
      <c r="L211" s="37"/>
      <c r="M211" s="44"/>
      <c r="N211" s="44"/>
      <c r="O211" s="44"/>
      <c r="P211" s="44"/>
      <c r="Q211" s="40"/>
    </row>
    <row r="212" spans="1:17">
      <c r="A212" s="39" t="s">
        <v>337</v>
      </c>
      <c r="B212" s="47" t="s">
        <v>548</v>
      </c>
      <c r="C212" s="39" t="s">
        <v>125</v>
      </c>
      <c r="D212" s="47" t="s">
        <v>547</v>
      </c>
      <c r="E212" s="92">
        <v>8043824</v>
      </c>
      <c r="F212" s="96">
        <v>100</v>
      </c>
      <c r="G212" s="96">
        <v>1</v>
      </c>
      <c r="J212" s="42"/>
      <c r="K212" s="37"/>
      <c r="L212" s="37"/>
      <c r="M212" s="44"/>
      <c r="N212" s="44"/>
      <c r="O212" s="44"/>
      <c r="P212" s="44"/>
      <c r="Q212" s="40"/>
    </row>
    <row r="213" spans="1:17">
      <c r="A213" s="39" t="s">
        <v>338</v>
      </c>
      <c r="B213" s="47" t="s">
        <v>548</v>
      </c>
      <c r="C213" s="39" t="s">
        <v>125</v>
      </c>
      <c r="D213" s="47" t="s">
        <v>549</v>
      </c>
      <c r="E213" s="92">
        <v>8227044</v>
      </c>
      <c r="F213" s="96">
        <v>73</v>
      </c>
      <c r="G213" s="96">
        <v>1</v>
      </c>
      <c r="J213" s="42"/>
      <c r="K213" s="37"/>
      <c r="L213" s="37"/>
      <c r="M213" s="44"/>
      <c r="N213" s="44"/>
      <c r="O213" s="44"/>
      <c r="P213" s="44"/>
      <c r="Q213" s="40"/>
    </row>
    <row r="214" spans="1:17">
      <c r="A214" s="39" t="s">
        <v>339</v>
      </c>
      <c r="B214" s="47" t="s">
        <v>548</v>
      </c>
      <c r="C214" s="39" t="s">
        <v>120</v>
      </c>
      <c r="D214" s="47" t="s">
        <v>547</v>
      </c>
      <c r="E214" s="92">
        <v>3823989</v>
      </c>
      <c r="F214" s="96">
        <v>61</v>
      </c>
      <c r="G214" s="96">
        <v>1</v>
      </c>
      <c r="J214" s="42"/>
      <c r="K214" s="37"/>
      <c r="L214" s="37"/>
      <c r="M214" s="44"/>
      <c r="N214" s="44"/>
      <c r="O214" s="44"/>
      <c r="P214" s="44"/>
      <c r="Q214" s="40"/>
    </row>
    <row r="215" spans="1:17">
      <c r="A215" s="39" t="s">
        <v>340</v>
      </c>
      <c r="B215" s="47" t="s">
        <v>550</v>
      </c>
      <c r="C215" s="39" t="s">
        <v>146</v>
      </c>
      <c r="D215" s="47" t="s">
        <v>549</v>
      </c>
      <c r="E215" s="92">
        <v>2108649</v>
      </c>
      <c r="F215" s="96">
        <v>16</v>
      </c>
      <c r="G215" s="96">
        <v>1</v>
      </c>
      <c r="J215" s="42"/>
      <c r="K215" s="37"/>
      <c r="L215" s="37"/>
      <c r="M215" s="44"/>
      <c r="N215" s="44"/>
      <c r="O215" s="44"/>
      <c r="P215" s="44"/>
      <c r="Q215" s="40"/>
    </row>
    <row r="216" spans="1:17">
      <c r="A216" s="39" t="s">
        <v>341</v>
      </c>
      <c r="B216" s="47" t="s">
        <v>550</v>
      </c>
      <c r="C216" s="39" t="s">
        <v>105</v>
      </c>
      <c r="D216" s="47" t="s">
        <v>547</v>
      </c>
      <c r="E216" s="92">
        <v>3878281</v>
      </c>
      <c r="F216" s="96">
        <v>53</v>
      </c>
      <c r="G216" s="96">
        <v>1</v>
      </c>
      <c r="J216" s="42"/>
      <c r="K216" s="37"/>
      <c r="L216" s="37"/>
      <c r="M216" s="44"/>
      <c r="N216" s="44"/>
      <c r="O216" s="44"/>
      <c r="P216" s="44"/>
      <c r="Q216" s="40"/>
    </row>
    <row r="217" spans="1:17">
      <c r="A217" s="39" t="s">
        <v>342</v>
      </c>
      <c r="B217" s="47" t="s">
        <v>550</v>
      </c>
      <c r="C217" s="39" t="s">
        <v>128</v>
      </c>
      <c r="D217" s="47" t="s">
        <v>547</v>
      </c>
      <c r="E217" s="92">
        <v>1640477</v>
      </c>
      <c r="F217" s="96">
        <v>25</v>
      </c>
      <c r="G217" s="96">
        <v>1</v>
      </c>
      <c r="J217" s="42"/>
      <c r="K217" s="37"/>
      <c r="L217" s="37"/>
      <c r="M217" s="44"/>
      <c r="N217" s="44"/>
      <c r="O217" s="44"/>
      <c r="P217" s="44"/>
      <c r="Q217" s="40"/>
    </row>
    <row r="218" spans="1:17">
      <c r="A218" s="39" t="s">
        <v>623</v>
      </c>
      <c r="B218" s="47" t="s">
        <v>550</v>
      </c>
      <c r="C218" s="39" t="s">
        <v>128</v>
      </c>
      <c r="D218" s="47" t="s">
        <v>547</v>
      </c>
      <c r="E218" s="92">
        <v>2240922</v>
      </c>
      <c r="F218" s="96">
        <v>28</v>
      </c>
      <c r="G218" s="96">
        <v>1</v>
      </c>
      <c r="J218" s="42"/>
      <c r="K218" s="37"/>
      <c r="L218" s="37"/>
      <c r="M218" s="44"/>
      <c r="N218" s="44"/>
      <c r="O218" s="44"/>
      <c r="P218" s="44"/>
      <c r="Q218" s="40"/>
    </row>
    <row r="219" spans="1:17">
      <c r="A219" s="39" t="s">
        <v>343</v>
      </c>
      <c r="B219" s="47" t="s">
        <v>550</v>
      </c>
      <c r="C219" s="39" t="s">
        <v>110</v>
      </c>
      <c r="D219" s="47" t="s">
        <v>547</v>
      </c>
      <c r="E219" s="92">
        <v>5048313</v>
      </c>
      <c r="F219" s="96">
        <v>63</v>
      </c>
      <c r="G219" s="96">
        <v>1</v>
      </c>
      <c r="J219" s="42"/>
      <c r="K219" s="37"/>
      <c r="L219" s="37"/>
      <c r="M219" s="44"/>
      <c r="N219" s="44"/>
      <c r="O219" s="44"/>
      <c r="P219" s="44"/>
      <c r="Q219" s="40"/>
    </row>
    <row r="220" spans="1:17">
      <c r="A220" s="39" t="s">
        <v>624</v>
      </c>
      <c r="B220" s="47" t="s">
        <v>550</v>
      </c>
      <c r="C220" s="39" t="s">
        <v>110</v>
      </c>
      <c r="D220" s="47" t="s">
        <v>547</v>
      </c>
      <c r="E220" s="92">
        <v>2445865</v>
      </c>
      <c r="F220" s="96">
        <v>35</v>
      </c>
      <c r="G220" s="96">
        <v>1</v>
      </c>
      <c r="J220" s="42"/>
      <c r="K220" s="37"/>
      <c r="L220" s="37"/>
      <c r="M220" s="44"/>
      <c r="N220" s="44"/>
      <c r="O220" s="44"/>
      <c r="P220" s="44"/>
      <c r="Q220" s="40"/>
    </row>
    <row r="221" spans="1:17">
      <c r="A221" s="39" t="s">
        <v>344</v>
      </c>
      <c r="B221" s="47" t="s">
        <v>550</v>
      </c>
      <c r="C221" s="39" t="s">
        <v>151</v>
      </c>
      <c r="D221" s="47" t="s">
        <v>547</v>
      </c>
      <c r="E221" s="92">
        <v>761799</v>
      </c>
      <c r="F221" s="96">
        <v>33</v>
      </c>
      <c r="G221" s="96">
        <v>1</v>
      </c>
      <c r="J221" s="42"/>
      <c r="K221" s="37"/>
      <c r="L221" s="37"/>
      <c r="M221" s="44"/>
      <c r="N221" s="44"/>
      <c r="O221" s="44"/>
      <c r="P221" s="44"/>
      <c r="Q221" s="40"/>
    </row>
    <row r="222" spans="1:17">
      <c r="A222" s="39" t="s">
        <v>345</v>
      </c>
      <c r="B222" s="47" t="s">
        <v>548</v>
      </c>
      <c r="C222" s="39" t="s">
        <v>153</v>
      </c>
      <c r="D222" s="47" t="s">
        <v>547</v>
      </c>
      <c r="E222" s="92">
        <v>2701955</v>
      </c>
      <c r="F222" s="96">
        <v>36</v>
      </c>
      <c r="G222" s="96">
        <v>1</v>
      </c>
      <c r="J222" s="42"/>
      <c r="K222" s="37"/>
      <c r="L222" s="37"/>
      <c r="M222" s="44"/>
      <c r="N222" s="44"/>
      <c r="O222" s="44"/>
      <c r="P222" s="44"/>
      <c r="Q222" s="40"/>
    </row>
    <row r="223" spans="1:17">
      <c r="A223" s="39" t="s">
        <v>346</v>
      </c>
      <c r="B223" s="47" t="s">
        <v>548</v>
      </c>
      <c r="C223" s="39" t="s">
        <v>111</v>
      </c>
      <c r="D223" s="47" t="s">
        <v>549</v>
      </c>
      <c r="E223" s="92">
        <v>8024898</v>
      </c>
      <c r="F223" s="96">
        <v>62</v>
      </c>
      <c r="G223" s="96">
        <v>1</v>
      </c>
      <c r="J223" s="42"/>
      <c r="K223" s="37"/>
      <c r="L223" s="37"/>
      <c r="M223" s="44"/>
      <c r="N223" s="44"/>
      <c r="O223" s="44"/>
      <c r="P223" s="44"/>
      <c r="Q223" s="40"/>
    </row>
    <row r="224" spans="1:17">
      <c r="A224" s="39" t="s">
        <v>347</v>
      </c>
      <c r="B224" s="47" t="s">
        <v>550</v>
      </c>
      <c r="C224" s="39" t="s">
        <v>117</v>
      </c>
      <c r="D224" s="47" t="s">
        <v>549</v>
      </c>
      <c r="E224" s="92">
        <v>3377802</v>
      </c>
      <c r="F224" s="96">
        <v>40</v>
      </c>
      <c r="G224" s="96">
        <v>1</v>
      </c>
      <c r="J224" s="42"/>
      <c r="K224" s="37"/>
      <c r="L224" s="37"/>
      <c r="M224" s="44"/>
      <c r="N224" s="44"/>
      <c r="O224" s="44"/>
      <c r="P224" s="44"/>
      <c r="Q224" s="40"/>
    </row>
    <row r="225" spans="1:17">
      <c r="A225" s="39" t="s">
        <v>348</v>
      </c>
      <c r="B225" s="47" t="s">
        <v>550</v>
      </c>
      <c r="C225" s="39" t="s">
        <v>117</v>
      </c>
      <c r="D225" s="47" t="s">
        <v>547</v>
      </c>
      <c r="E225" s="92">
        <v>2889610</v>
      </c>
      <c r="F225" s="96">
        <v>50</v>
      </c>
      <c r="G225" s="96">
        <v>1</v>
      </c>
      <c r="J225" s="42"/>
      <c r="K225" s="37"/>
      <c r="L225" s="37"/>
      <c r="M225" s="44"/>
      <c r="N225" s="44"/>
      <c r="O225" s="44"/>
      <c r="P225" s="44"/>
      <c r="Q225" s="40"/>
    </row>
    <row r="226" spans="1:17">
      <c r="A226" s="39" t="s">
        <v>625</v>
      </c>
      <c r="B226" s="47" t="s">
        <v>550</v>
      </c>
      <c r="C226" s="39" t="s">
        <v>146</v>
      </c>
      <c r="D226" s="47" t="s">
        <v>547</v>
      </c>
      <c r="E226" s="92">
        <v>2761285</v>
      </c>
      <c r="F226" s="96">
        <v>44</v>
      </c>
      <c r="G226" s="96">
        <v>1</v>
      </c>
      <c r="J226" s="42"/>
      <c r="K226" s="37"/>
      <c r="L226" s="37"/>
      <c r="M226" s="44"/>
      <c r="N226" s="44"/>
      <c r="O226" s="44"/>
      <c r="P226" s="44"/>
      <c r="Q226" s="40"/>
    </row>
    <row r="227" spans="1:17">
      <c r="A227" s="39" t="s">
        <v>349</v>
      </c>
      <c r="B227" s="47" t="s">
        <v>550</v>
      </c>
      <c r="C227" s="39" t="s">
        <v>117</v>
      </c>
      <c r="D227" s="47" t="s">
        <v>547</v>
      </c>
      <c r="E227" s="92">
        <v>4891302</v>
      </c>
      <c r="F227" s="96">
        <v>35</v>
      </c>
      <c r="G227" s="96">
        <v>1</v>
      </c>
      <c r="J227" s="42"/>
      <c r="K227" s="37"/>
      <c r="L227" s="37"/>
      <c r="M227" s="44"/>
      <c r="N227" s="44"/>
      <c r="O227" s="44"/>
      <c r="P227" s="44"/>
      <c r="Q227" s="40"/>
    </row>
    <row r="228" spans="1:17">
      <c r="A228" s="39" t="s">
        <v>350</v>
      </c>
      <c r="B228" s="47" t="s">
        <v>548</v>
      </c>
      <c r="C228" s="39" t="s">
        <v>137</v>
      </c>
      <c r="D228" s="47" t="s">
        <v>549</v>
      </c>
      <c r="E228" s="92">
        <v>4241283</v>
      </c>
      <c r="F228" s="96">
        <v>38</v>
      </c>
      <c r="G228" s="96">
        <v>1</v>
      </c>
      <c r="J228" s="42"/>
      <c r="K228" s="37"/>
      <c r="L228" s="37"/>
      <c r="M228" s="44"/>
      <c r="N228" s="44"/>
      <c r="O228" s="44"/>
      <c r="P228" s="44"/>
      <c r="Q228" s="40"/>
    </row>
    <row r="229" spans="1:17">
      <c r="A229" s="39" t="s">
        <v>351</v>
      </c>
      <c r="B229" s="47" t="s">
        <v>548</v>
      </c>
      <c r="C229" s="39" t="s">
        <v>124</v>
      </c>
      <c r="D229" s="47" t="s">
        <v>549</v>
      </c>
      <c r="E229" s="92">
        <v>5255981</v>
      </c>
      <c r="F229" s="96">
        <v>49</v>
      </c>
      <c r="G229" s="96">
        <v>1</v>
      </c>
      <c r="J229" s="42"/>
      <c r="K229" s="37"/>
      <c r="L229" s="37"/>
      <c r="M229" s="44"/>
      <c r="N229" s="44"/>
      <c r="O229" s="44"/>
      <c r="P229" s="44"/>
      <c r="Q229" s="40"/>
    </row>
    <row r="230" spans="1:17">
      <c r="A230" s="39" t="s">
        <v>352</v>
      </c>
      <c r="B230" s="47" t="s">
        <v>550</v>
      </c>
      <c r="C230" s="39" t="s">
        <v>117</v>
      </c>
      <c r="D230" s="47" t="s">
        <v>549</v>
      </c>
      <c r="E230" s="92">
        <v>7130090</v>
      </c>
      <c r="F230" s="96">
        <v>60</v>
      </c>
      <c r="G230" s="96">
        <v>1</v>
      </c>
      <c r="J230" s="42"/>
      <c r="K230" s="37"/>
      <c r="L230" s="37"/>
      <c r="M230" s="44"/>
      <c r="N230" s="44"/>
      <c r="O230" s="44"/>
      <c r="P230" s="44"/>
      <c r="Q230" s="40"/>
    </row>
    <row r="231" spans="1:17">
      <c r="A231" s="39" t="s">
        <v>353</v>
      </c>
      <c r="B231" s="47" t="s">
        <v>550</v>
      </c>
      <c r="C231" s="39" t="s">
        <v>148</v>
      </c>
      <c r="D231" s="47" t="s">
        <v>549</v>
      </c>
      <c r="E231" s="92">
        <v>409260</v>
      </c>
      <c r="F231" s="96">
        <v>10</v>
      </c>
      <c r="G231" s="96">
        <v>1</v>
      </c>
      <c r="J231" s="42"/>
      <c r="K231" s="37"/>
      <c r="L231" s="37"/>
      <c r="M231" s="44"/>
      <c r="N231" s="44"/>
      <c r="O231" s="44"/>
      <c r="P231" s="44"/>
      <c r="Q231" s="40"/>
    </row>
    <row r="232" spans="1:17">
      <c r="A232" s="39" t="s">
        <v>354</v>
      </c>
      <c r="B232" s="47" t="s">
        <v>548</v>
      </c>
      <c r="C232" s="39" t="s">
        <v>97</v>
      </c>
      <c r="D232" s="47" t="s">
        <v>549</v>
      </c>
      <c r="E232" s="92">
        <v>7661295</v>
      </c>
      <c r="F232" s="96">
        <v>85</v>
      </c>
      <c r="G232" s="96">
        <v>1</v>
      </c>
      <c r="J232" s="42"/>
      <c r="K232" s="37"/>
      <c r="L232" s="37"/>
      <c r="M232" s="44"/>
      <c r="N232" s="44"/>
      <c r="O232" s="44"/>
      <c r="P232" s="44"/>
      <c r="Q232" s="40"/>
    </row>
    <row r="233" spans="1:17">
      <c r="A233" s="39" t="s">
        <v>355</v>
      </c>
      <c r="B233" s="47" t="s">
        <v>548</v>
      </c>
      <c r="C233" s="39" t="s">
        <v>107</v>
      </c>
      <c r="D233" s="47" t="s">
        <v>549</v>
      </c>
      <c r="E233" s="92">
        <v>10856683</v>
      </c>
      <c r="F233" s="96">
        <v>55</v>
      </c>
      <c r="G233" s="96">
        <v>1</v>
      </c>
      <c r="J233" s="42"/>
      <c r="K233" s="37"/>
      <c r="L233" s="37"/>
      <c r="M233" s="44"/>
      <c r="N233" s="44"/>
      <c r="O233" s="44"/>
      <c r="P233" s="44"/>
      <c r="Q233" s="40"/>
    </row>
    <row r="234" spans="1:17">
      <c r="A234" s="39" t="s">
        <v>356</v>
      </c>
      <c r="B234" s="47" t="s">
        <v>548</v>
      </c>
      <c r="C234" s="39" t="s">
        <v>133</v>
      </c>
      <c r="D234" s="47" t="s">
        <v>549</v>
      </c>
      <c r="E234" s="92">
        <v>15730352</v>
      </c>
      <c r="F234" s="96">
        <v>82</v>
      </c>
      <c r="G234" s="96">
        <v>1</v>
      </c>
      <c r="J234" s="42"/>
      <c r="K234" s="37"/>
      <c r="L234" s="37"/>
      <c r="M234" s="44"/>
      <c r="N234" s="44"/>
      <c r="O234" s="44"/>
      <c r="P234" s="44"/>
      <c r="Q234" s="40"/>
    </row>
    <row r="235" spans="1:17">
      <c r="A235" s="39" t="s">
        <v>357</v>
      </c>
      <c r="B235" s="47" t="s">
        <v>550</v>
      </c>
      <c r="C235" s="39" t="s">
        <v>158</v>
      </c>
      <c r="D235" s="47" t="s">
        <v>549</v>
      </c>
      <c r="E235" s="92">
        <v>4818763</v>
      </c>
      <c r="F235" s="96">
        <v>31</v>
      </c>
      <c r="G235" s="96">
        <v>1</v>
      </c>
      <c r="J235" s="42"/>
      <c r="K235" s="37"/>
      <c r="L235" s="37"/>
      <c r="M235" s="44"/>
      <c r="N235" s="44"/>
      <c r="O235" s="44"/>
      <c r="P235" s="44"/>
      <c r="Q235" s="40"/>
    </row>
    <row r="236" spans="1:17">
      <c r="A236" s="39" t="s">
        <v>358</v>
      </c>
      <c r="B236" s="47" t="s">
        <v>550</v>
      </c>
      <c r="C236" s="39" t="s">
        <v>151</v>
      </c>
      <c r="D236" s="47" t="s">
        <v>547</v>
      </c>
      <c r="E236" s="92">
        <v>3341155</v>
      </c>
      <c r="F236" s="96">
        <v>35</v>
      </c>
      <c r="G236" s="96">
        <v>1</v>
      </c>
      <c r="J236" s="42"/>
      <c r="K236" s="37"/>
      <c r="L236" s="37"/>
      <c r="M236" s="44"/>
      <c r="N236" s="44"/>
      <c r="O236" s="44"/>
      <c r="P236" s="44"/>
      <c r="Q236" s="40"/>
    </row>
    <row r="237" spans="1:17">
      <c r="A237" s="39" t="s">
        <v>359</v>
      </c>
      <c r="B237" s="47" t="s">
        <v>548</v>
      </c>
      <c r="C237" s="39" t="s">
        <v>132</v>
      </c>
      <c r="D237" s="47" t="s">
        <v>549</v>
      </c>
      <c r="E237" s="92">
        <v>11757707</v>
      </c>
      <c r="F237" s="96">
        <v>80</v>
      </c>
      <c r="G237" s="96">
        <v>1</v>
      </c>
      <c r="J237" s="42"/>
      <c r="K237" s="37"/>
      <c r="L237" s="37"/>
      <c r="M237" s="44"/>
      <c r="N237" s="44"/>
      <c r="O237" s="44"/>
      <c r="P237" s="44"/>
      <c r="Q237" s="40"/>
    </row>
    <row r="238" spans="1:17">
      <c r="A238" s="39" t="s">
        <v>626</v>
      </c>
      <c r="B238" s="47" t="s">
        <v>548</v>
      </c>
      <c r="C238" s="39" t="s">
        <v>147</v>
      </c>
      <c r="D238" s="47" t="s">
        <v>549</v>
      </c>
      <c r="E238" s="92">
        <v>3368781</v>
      </c>
      <c r="F238" s="96">
        <v>30</v>
      </c>
      <c r="G238" s="96">
        <v>1</v>
      </c>
      <c r="J238" s="42"/>
      <c r="K238" s="37"/>
      <c r="L238" s="37"/>
      <c r="M238" s="44"/>
      <c r="N238" s="44"/>
      <c r="O238" s="44"/>
      <c r="P238" s="44"/>
      <c r="Q238" s="40"/>
    </row>
    <row r="239" spans="1:17">
      <c r="A239" s="39" t="s">
        <v>360</v>
      </c>
      <c r="B239" s="47" t="s">
        <v>548</v>
      </c>
      <c r="C239" s="39" t="s">
        <v>131</v>
      </c>
      <c r="D239" s="47" t="s">
        <v>549</v>
      </c>
      <c r="E239" s="92">
        <v>9084382</v>
      </c>
      <c r="F239" s="96">
        <v>72</v>
      </c>
      <c r="G239" s="96">
        <v>1</v>
      </c>
      <c r="J239" s="42"/>
      <c r="K239" s="37"/>
      <c r="L239" s="37"/>
      <c r="M239" s="44"/>
      <c r="N239" s="44"/>
      <c r="O239" s="44"/>
      <c r="P239" s="44"/>
      <c r="Q239" s="40"/>
    </row>
    <row r="240" spans="1:17">
      <c r="A240" s="39" t="s">
        <v>361</v>
      </c>
      <c r="B240" s="47" t="s">
        <v>548</v>
      </c>
      <c r="C240" s="39" t="s">
        <v>129</v>
      </c>
      <c r="D240" s="47" t="s">
        <v>547</v>
      </c>
      <c r="E240" s="92">
        <v>4065993</v>
      </c>
      <c r="F240" s="96">
        <v>90</v>
      </c>
      <c r="G240" s="96">
        <v>1</v>
      </c>
      <c r="J240" s="42"/>
      <c r="K240" s="37"/>
      <c r="L240" s="37"/>
      <c r="M240" s="44"/>
      <c r="N240" s="44"/>
      <c r="O240" s="44"/>
      <c r="P240" s="44"/>
      <c r="Q240" s="40"/>
    </row>
    <row r="241" spans="1:17">
      <c r="A241" s="39" t="s">
        <v>362</v>
      </c>
      <c r="B241" s="47" t="s">
        <v>550</v>
      </c>
      <c r="C241" s="39" t="s">
        <v>23</v>
      </c>
      <c r="D241" s="47" t="s">
        <v>547</v>
      </c>
      <c r="E241" s="92">
        <v>1745874</v>
      </c>
      <c r="F241" s="96">
        <v>40</v>
      </c>
      <c r="G241" s="96">
        <v>1</v>
      </c>
      <c r="J241" s="42"/>
      <c r="K241" s="37"/>
      <c r="L241" s="37"/>
      <c r="M241" s="44"/>
      <c r="N241" s="44"/>
      <c r="O241" s="44"/>
      <c r="P241" s="44"/>
      <c r="Q241" s="40"/>
    </row>
    <row r="242" spans="1:17">
      <c r="A242" s="39" t="s">
        <v>363</v>
      </c>
      <c r="B242" s="47" t="s">
        <v>548</v>
      </c>
      <c r="C242" s="39" t="s">
        <v>100</v>
      </c>
      <c r="D242" s="47" t="s">
        <v>549</v>
      </c>
      <c r="E242" s="92">
        <v>1838320</v>
      </c>
      <c r="F242" s="96">
        <v>40</v>
      </c>
      <c r="G242" s="96">
        <v>1</v>
      </c>
      <c r="J242" s="42"/>
      <c r="K242" s="37"/>
      <c r="L242" s="37"/>
      <c r="M242" s="44"/>
      <c r="N242" s="44"/>
      <c r="O242" s="44"/>
      <c r="P242" s="44"/>
      <c r="Q242" s="40"/>
    </row>
    <row r="243" spans="1:17">
      <c r="A243" s="39" t="s">
        <v>364</v>
      </c>
      <c r="B243" s="47" t="s">
        <v>548</v>
      </c>
      <c r="C243" s="39" t="s">
        <v>131</v>
      </c>
      <c r="D243" s="47" t="s">
        <v>547</v>
      </c>
      <c r="E243" s="92" t="s">
        <v>656</v>
      </c>
      <c r="F243" s="96">
        <v>0</v>
      </c>
      <c r="G243" s="96">
        <v>1</v>
      </c>
      <c r="J243" s="42"/>
      <c r="K243" s="37"/>
      <c r="L243" s="37"/>
      <c r="M243" s="44"/>
      <c r="N243" s="44"/>
      <c r="O243" s="44"/>
      <c r="P243" s="44"/>
      <c r="Q243" s="40"/>
    </row>
    <row r="244" spans="1:17">
      <c r="A244" s="39" t="s">
        <v>365</v>
      </c>
      <c r="B244" s="47" t="s">
        <v>550</v>
      </c>
      <c r="C244" s="39" t="s">
        <v>19</v>
      </c>
      <c r="D244" s="47" t="s">
        <v>547</v>
      </c>
      <c r="E244" s="92">
        <v>2089224</v>
      </c>
      <c r="F244" s="96">
        <v>40</v>
      </c>
      <c r="G244" s="96">
        <v>1</v>
      </c>
      <c r="J244" s="42"/>
      <c r="K244" s="37"/>
      <c r="L244" s="37"/>
      <c r="M244" s="44"/>
      <c r="N244" s="44"/>
      <c r="O244" s="44"/>
      <c r="P244" s="44"/>
      <c r="Q244" s="40"/>
    </row>
    <row r="245" spans="1:17">
      <c r="A245" s="39" t="s">
        <v>366</v>
      </c>
      <c r="B245" s="47" t="s">
        <v>550</v>
      </c>
      <c r="C245" s="39" t="s">
        <v>19</v>
      </c>
      <c r="D245" s="47" t="s">
        <v>547</v>
      </c>
      <c r="E245" s="92">
        <v>6446168</v>
      </c>
      <c r="F245" s="96">
        <v>59</v>
      </c>
      <c r="G245" s="96">
        <v>1</v>
      </c>
      <c r="J245" s="42"/>
      <c r="K245" s="37"/>
      <c r="L245" s="37"/>
      <c r="M245" s="44"/>
      <c r="N245" s="44"/>
      <c r="O245" s="44"/>
      <c r="P245" s="44"/>
      <c r="Q245" s="40"/>
    </row>
    <row r="246" spans="1:17">
      <c r="A246" s="39" t="s">
        <v>367</v>
      </c>
      <c r="B246" s="47" t="s">
        <v>548</v>
      </c>
      <c r="C246" s="39" t="s">
        <v>136</v>
      </c>
      <c r="D246" s="47" t="s">
        <v>549</v>
      </c>
      <c r="E246" s="92">
        <v>11219223</v>
      </c>
      <c r="F246" s="96">
        <v>75</v>
      </c>
      <c r="G246" s="96">
        <v>1</v>
      </c>
      <c r="J246" s="42"/>
      <c r="K246" s="37"/>
      <c r="L246" s="37"/>
      <c r="M246" s="44"/>
      <c r="N246" s="44"/>
      <c r="O246" s="44"/>
      <c r="P246" s="44"/>
      <c r="Q246" s="40"/>
    </row>
    <row r="247" spans="1:17">
      <c r="A247" s="39" t="s">
        <v>368</v>
      </c>
      <c r="B247" s="47" t="s">
        <v>550</v>
      </c>
      <c r="C247" s="39" t="s">
        <v>146</v>
      </c>
      <c r="D247" s="47" t="s">
        <v>549</v>
      </c>
      <c r="E247" s="92">
        <v>1322822</v>
      </c>
      <c r="F247" s="96">
        <v>20</v>
      </c>
      <c r="G247" s="96">
        <v>1</v>
      </c>
      <c r="J247" s="42"/>
      <c r="K247" s="37"/>
      <c r="L247" s="37"/>
      <c r="M247" s="44"/>
      <c r="N247" s="44"/>
      <c r="O247" s="44"/>
      <c r="P247" s="44"/>
      <c r="Q247" s="40"/>
    </row>
    <row r="248" spans="1:17">
      <c r="A248" s="39" t="s">
        <v>369</v>
      </c>
      <c r="B248" s="47" t="s">
        <v>548</v>
      </c>
      <c r="C248" s="39" t="s">
        <v>112</v>
      </c>
      <c r="D248" s="47" t="s">
        <v>549</v>
      </c>
      <c r="E248" s="92">
        <v>3123762</v>
      </c>
      <c r="F248" s="96">
        <v>45</v>
      </c>
      <c r="G248" s="96">
        <v>1</v>
      </c>
      <c r="J248" s="42"/>
      <c r="K248" s="37"/>
      <c r="L248" s="37"/>
      <c r="M248" s="44"/>
      <c r="N248" s="44"/>
      <c r="O248" s="44"/>
      <c r="P248" s="44"/>
      <c r="Q248" s="40"/>
    </row>
    <row r="249" spans="1:17">
      <c r="A249" s="39" t="s">
        <v>370</v>
      </c>
      <c r="B249" s="47" t="s">
        <v>548</v>
      </c>
      <c r="C249" s="39" t="s">
        <v>122</v>
      </c>
      <c r="D249" s="47" t="s">
        <v>549</v>
      </c>
      <c r="E249" s="92">
        <v>12641116</v>
      </c>
      <c r="F249" s="96">
        <v>70</v>
      </c>
      <c r="G249" s="96">
        <v>1</v>
      </c>
      <c r="J249" s="42"/>
      <c r="K249" s="37"/>
      <c r="L249" s="37"/>
      <c r="M249" s="44"/>
      <c r="N249" s="44"/>
      <c r="O249" s="44"/>
      <c r="P249" s="44"/>
      <c r="Q249" s="40"/>
    </row>
    <row r="250" spans="1:17">
      <c r="A250" s="39" t="s">
        <v>371</v>
      </c>
      <c r="B250" s="47" t="s">
        <v>548</v>
      </c>
      <c r="C250" s="39" t="s">
        <v>133</v>
      </c>
      <c r="D250" s="47" t="s">
        <v>547</v>
      </c>
      <c r="E250" s="92">
        <v>8453363</v>
      </c>
      <c r="F250" s="96">
        <v>90</v>
      </c>
      <c r="G250" s="96">
        <v>1</v>
      </c>
      <c r="J250" s="42"/>
      <c r="K250" s="37"/>
      <c r="L250" s="37"/>
      <c r="M250" s="44"/>
      <c r="N250" s="44"/>
      <c r="O250" s="44"/>
      <c r="P250" s="44"/>
      <c r="Q250" s="40"/>
    </row>
    <row r="251" spans="1:17">
      <c r="A251" s="39" t="s">
        <v>627</v>
      </c>
      <c r="B251" s="47" t="s">
        <v>548</v>
      </c>
      <c r="C251" s="39" t="s">
        <v>124</v>
      </c>
      <c r="D251" s="47" t="s">
        <v>547</v>
      </c>
      <c r="E251" s="92">
        <v>553385</v>
      </c>
      <c r="F251" s="96">
        <v>25</v>
      </c>
      <c r="G251" s="96">
        <v>1</v>
      </c>
      <c r="J251" s="42"/>
      <c r="K251" s="37"/>
      <c r="L251" s="37"/>
      <c r="M251" s="44"/>
      <c r="N251" s="44"/>
      <c r="O251" s="44"/>
      <c r="P251" s="44"/>
      <c r="Q251" s="40"/>
    </row>
    <row r="252" spans="1:17">
      <c r="A252" s="39" t="s">
        <v>372</v>
      </c>
      <c r="B252" s="47" t="s">
        <v>550</v>
      </c>
      <c r="C252" s="39" t="s">
        <v>134</v>
      </c>
      <c r="D252" s="47" t="s">
        <v>547</v>
      </c>
      <c r="E252" s="92">
        <v>1451068</v>
      </c>
      <c r="F252" s="96">
        <v>20</v>
      </c>
      <c r="G252" s="96">
        <v>1</v>
      </c>
      <c r="J252" s="42"/>
      <c r="K252" s="37"/>
      <c r="L252" s="37"/>
      <c r="M252" s="44"/>
      <c r="N252" s="44"/>
      <c r="O252" s="44"/>
      <c r="P252" s="44"/>
      <c r="Q252" s="40"/>
    </row>
    <row r="253" spans="1:17">
      <c r="A253" s="39" t="s">
        <v>586</v>
      </c>
      <c r="B253" s="47" t="s">
        <v>548</v>
      </c>
      <c r="C253" s="39" t="s">
        <v>132</v>
      </c>
      <c r="D253" s="47" t="s">
        <v>549</v>
      </c>
      <c r="E253" s="92">
        <v>14086585</v>
      </c>
      <c r="F253" s="96">
        <v>89</v>
      </c>
      <c r="G253" s="96">
        <v>1</v>
      </c>
      <c r="J253" s="42"/>
      <c r="K253" s="37"/>
      <c r="L253" s="37"/>
      <c r="M253" s="44"/>
      <c r="N253" s="44"/>
      <c r="O253" s="44"/>
      <c r="P253" s="44"/>
      <c r="Q253" s="40"/>
    </row>
    <row r="254" spans="1:17">
      <c r="A254" s="39" t="s">
        <v>373</v>
      </c>
      <c r="B254" s="47" t="s">
        <v>550</v>
      </c>
      <c r="C254" s="39" t="s">
        <v>96</v>
      </c>
      <c r="D254" s="47" t="s">
        <v>547</v>
      </c>
      <c r="E254" s="92">
        <v>2229852</v>
      </c>
      <c r="F254" s="96">
        <v>32</v>
      </c>
      <c r="G254" s="96">
        <v>1</v>
      </c>
      <c r="J254" s="42"/>
      <c r="K254" s="37"/>
      <c r="L254" s="37"/>
      <c r="M254" s="44"/>
      <c r="N254" s="44"/>
      <c r="O254" s="44"/>
      <c r="P254" s="44"/>
      <c r="Q254" s="40"/>
    </row>
    <row r="255" spans="1:17">
      <c r="A255" s="39" t="s">
        <v>374</v>
      </c>
      <c r="B255" s="47" t="s">
        <v>548</v>
      </c>
      <c r="C255" s="39" t="s">
        <v>100</v>
      </c>
      <c r="D255" s="47" t="s">
        <v>549</v>
      </c>
      <c r="E255" s="92" t="s">
        <v>656</v>
      </c>
      <c r="F255" s="96">
        <v>0</v>
      </c>
      <c r="G255" s="96">
        <v>1</v>
      </c>
      <c r="J255" s="42"/>
      <c r="K255" s="37"/>
      <c r="L255" s="37"/>
      <c r="M255" s="44"/>
      <c r="N255" s="44"/>
      <c r="O255" s="44"/>
      <c r="P255" s="44"/>
      <c r="Q255" s="40"/>
    </row>
    <row r="256" spans="1:17">
      <c r="A256" s="39" t="s">
        <v>375</v>
      </c>
      <c r="B256" s="47" t="s">
        <v>550</v>
      </c>
      <c r="C256" s="39" t="s">
        <v>134</v>
      </c>
      <c r="D256" s="47" t="s">
        <v>549</v>
      </c>
      <c r="E256" s="92">
        <v>16071561</v>
      </c>
      <c r="F256" s="96">
        <v>75</v>
      </c>
      <c r="G256" s="96">
        <v>1</v>
      </c>
      <c r="J256" s="42"/>
      <c r="K256" s="37"/>
      <c r="L256" s="37"/>
      <c r="M256" s="44"/>
      <c r="N256" s="44"/>
      <c r="O256" s="44"/>
      <c r="P256" s="44"/>
      <c r="Q256" s="40"/>
    </row>
    <row r="257" spans="1:17">
      <c r="A257" s="39" t="s">
        <v>376</v>
      </c>
      <c r="B257" s="47" t="s">
        <v>550</v>
      </c>
      <c r="C257" s="39" t="s">
        <v>134</v>
      </c>
      <c r="D257" s="47" t="s">
        <v>547</v>
      </c>
      <c r="E257" s="92">
        <v>696189</v>
      </c>
      <c r="F257" s="96">
        <v>20</v>
      </c>
      <c r="G257" s="96">
        <v>1</v>
      </c>
      <c r="J257" s="42"/>
      <c r="K257" s="37"/>
      <c r="L257" s="37"/>
      <c r="M257" s="44"/>
      <c r="N257" s="44"/>
      <c r="O257" s="44"/>
      <c r="P257" s="44"/>
      <c r="Q257" s="40"/>
    </row>
    <row r="258" spans="1:17">
      <c r="A258" s="39" t="s">
        <v>628</v>
      </c>
      <c r="B258" s="47" t="s">
        <v>550</v>
      </c>
      <c r="C258" s="39" t="s">
        <v>134</v>
      </c>
      <c r="D258" s="47" t="s">
        <v>547</v>
      </c>
      <c r="E258" s="92">
        <v>7315810</v>
      </c>
      <c r="F258" s="96">
        <v>45</v>
      </c>
      <c r="G258" s="96">
        <v>1</v>
      </c>
      <c r="J258" s="42"/>
      <c r="K258" s="37"/>
      <c r="L258" s="37"/>
      <c r="M258" s="44"/>
      <c r="N258" s="44"/>
      <c r="O258" s="44"/>
      <c r="P258" s="44"/>
      <c r="Q258" s="40"/>
    </row>
    <row r="259" spans="1:17">
      <c r="A259" s="39" t="s">
        <v>558</v>
      </c>
      <c r="B259" s="47" t="s">
        <v>550</v>
      </c>
      <c r="C259" s="39" t="s">
        <v>134</v>
      </c>
      <c r="D259" s="47" t="s">
        <v>547</v>
      </c>
      <c r="E259" s="92">
        <v>7889312</v>
      </c>
      <c r="F259" s="96">
        <v>67</v>
      </c>
      <c r="G259" s="96">
        <v>1</v>
      </c>
      <c r="J259" s="42"/>
      <c r="K259" s="37"/>
      <c r="L259" s="37"/>
      <c r="M259" s="44"/>
      <c r="N259" s="44"/>
      <c r="O259" s="44"/>
      <c r="P259" s="44"/>
      <c r="Q259" s="40"/>
    </row>
    <row r="260" spans="1:17">
      <c r="A260" s="39" t="s">
        <v>377</v>
      </c>
      <c r="B260" s="47" t="s">
        <v>548</v>
      </c>
      <c r="C260" s="39" t="s">
        <v>120</v>
      </c>
      <c r="D260" s="47" t="s">
        <v>549</v>
      </c>
      <c r="E260" s="92">
        <v>13949896</v>
      </c>
      <c r="F260" s="96">
        <v>70</v>
      </c>
      <c r="G260" s="96">
        <v>1</v>
      </c>
      <c r="J260" s="42"/>
      <c r="K260" s="37"/>
      <c r="L260" s="37"/>
      <c r="M260" s="44"/>
      <c r="N260" s="44"/>
      <c r="O260" s="44"/>
      <c r="P260" s="44"/>
      <c r="Q260" s="40"/>
    </row>
    <row r="261" spans="1:17">
      <c r="A261" s="39" t="s">
        <v>378</v>
      </c>
      <c r="B261" s="47" t="s">
        <v>548</v>
      </c>
      <c r="C261" s="39" t="s">
        <v>31</v>
      </c>
      <c r="D261" s="47" t="s">
        <v>549</v>
      </c>
      <c r="E261" s="92">
        <v>6463268</v>
      </c>
      <c r="F261" s="96">
        <v>60</v>
      </c>
      <c r="G261" s="96">
        <v>1</v>
      </c>
      <c r="J261" s="42"/>
      <c r="K261" s="37"/>
      <c r="L261" s="37"/>
      <c r="M261" s="44"/>
      <c r="N261" s="44"/>
      <c r="O261" s="44"/>
      <c r="P261" s="44"/>
      <c r="Q261" s="40"/>
    </row>
    <row r="262" spans="1:17">
      <c r="A262" s="39" t="s">
        <v>379</v>
      </c>
      <c r="B262" s="47" t="s">
        <v>550</v>
      </c>
      <c r="C262" s="39" t="s">
        <v>110</v>
      </c>
      <c r="D262" s="47" t="s">
        <v>549</v>
      </c>
      <c r="E262" s="92">
        <v>1450718</v>
      </c>
      <c r="F262" s="96">
        <v>16</v>
      </c>
      <c r="G262" s="96">
        <v>1</v>
      </c>
      <c r="J262" s="42"/>
      <c r="K262" s="37"/>
      <c r="L262" s="37"/>
      <c r="M262" s="44"/>
      <c r="N262" s="44"/>
      <c r="O262" s="44"/>
      <c r="P262" s="44"/>
      <c r="Q262" s="40"/>
    </row>
    <row r="263" spans="1:17">
      <c r="A263" s="39" t="s">
        <v>380</v>
      </c>
      <c r="B263" s="47" t="s">
        <v>550</v>
      </c>
      <c r="C263" s="39" t="s">
        <v>126</v>
      </c>
      <c r="D263" s="47" t="s">
        <v>549</v>
      </c>
      <c r="E263" s="92">
        <v>1122413</v>
      </c>
      <c r="F263" s="96">
        <v>22</v>
      </c>
      <c r="G263" s="96">
        <v>1</v>
      </c>
      <c r="J263" s="42"/>
      <c r="K263" s="37"/>
      <c r="L263" s="37"/>
      <c r="M263" s="44"/>
      <c r="N263" s="44"/>
      <c r="O263" s="44"/>
      <c r="P263" s="44"/>
      <c r="Q263" s="40"/>
    </row>
    <row r="264" spans="1:17">
      <c r="A264" s="39" t="s">
        <v>381</v>
      </c>
      <c r="B264" s="47" t="s">
        <v>550</v>
      </c>
      <c r="C264" s="39" t="s">
        <v>126</v>
      </c>
      <c r="D264" s="47" t="s">
        <v>547</v>
      </c>
      <c r="E264" s="92">
        <v>7752043</v>
      </c>
      <c r="F264" s="96">
        <v>75</v>
      </c>
      <c r="G264" s="96">
        <v>1</v>
      </c>
      <c r="J264" s="42"/>
      <c r="K264" s="37"/>
      <c r="L264" s="37"/>
      <c r="M264" s="44"/>
      <c r="N264" s="44"/>
      <c r="O264" s="44"/>
      <c r="P264" s="44"/>
      <c r="Q264" s="40"/>
    </row>
    <row r="265" spans="1:17">
      <c r="A265" s="39" t="s">
        <v>629</v>
      </c>
      <c r="B265" s="47" t="s">
        <v>550</v>
      </c>
      <c r="C265" s="39" t="s">
        <v>126</v>
      </c>
      <c r="D265" s="47" t="s">
        <v>547</v>
      </c>
      <c r="E265" s="92">
        <v>3304526</v>
      </c>
      <c r="F265" s="96">
        <v>45</v>
      </c>
      <c r="G265" s="96">
        <v>1</v>
      </c>
      <c r="J265" s="42"/>
      <c r="K265" s="37"/>
      <c r="L265" s="37"/>
      <c r="M265" s="44"/>
      <c r="N265" s="44"/>
      <c r="O265" s="44"/>
      <c r="P265" s="44"/>
      <c r="Q265" s="40"/>
    </row>
    <row r="266" spans="1:17">
      <c r="A266" s="39" t="s">
        <v>382</v>
      </c>
      <c r="B266" s="47" t="s">
        <v>548</v>
      </c>
      <c r="C266" s="39" t="s">
        <v>136</v>
      </c>
      <c r="D266" s="47" t="s">
        <v>549</v>
      </c>
      <c r="E266" s="92">
        <v>5959676</v>
      </c>
      <c r="F266" s="96">
        <v>44</v>
      </c>
      <c r="G266" s="96">
        <v>1</v>
      </c>
      <c r="J266" s="42"/>
      <c r="K266" s="37"/>
      <c r="L266" s="37"/>
      <c r="M266" s="44"/>
      <c r="N266" s="44"/>
      <c r="O266" s="44"/>
      <c r="P266" s="44"/>
      <c r="Q266" s="40"/>
    </row>
    <row r="267" spans="1:17">
      <c r="A267" s="39" t="s">
        <v>383</v>
      </c>
      <c r="B267" s="47" t="s">
        <v>548</v>
      </c>
      <c r="C267" s="39" t="s">
        <v>156</v>
      </c>
      <c r="D267" s="47" t="s">
        <v>547</v>
      </c>
      <c r="E267" s="92">
        <v>1669425</v>
      </c>
      <c r="F267" s="96">
        <v>40</v>
      </c>
      <c r="G267" s="96">
        <v>1</v>
      </c>
      <c r="J267" s="42"/>
      <c r="K267" s="37"/>
      <c r="L267" s="37"/>
      <c r="M267" s="44"/>
      <c r="N267" s="44"/>
      <c r="O267" s="44"/>
      <c r="P267" s="44"/>
      <c r="Q267" s="40"/>
    </row>
    <row r="268" spans="1:17">
      <c r="A268" s="39" t="s">
        <v>630</v>
      </c>
      <c r="B268" s="47" t="s">
        <v>548</v>
      </c>
      <c r="C268" s="39" t="s">
        <v>97</v>
      </c>
      <c r="D268" s="47" t="s">
        <v>547</v>
      </c>
      <c r="E268" s="92">
        <v>1831217</v>
      </c>
      <c r="F268" s="96">
        <v>50</v>
      </c>
      <c r="G268" s="96">
        <v>1</v>
      </c>
      <c r="J268" s="42"/>
      <c r="K268" s="37"/>
      <c r="L268" s="37"/>
      <c r="M268" s="44"/>
      <c r="N268" s="44"/>
      <c r="O268" s="44"/>
      <c r="P268" s="44"/>
      <c r="Q268" s="40"/>
    </row>
    <row r="269" spans="1:17">
      <c r="A269" s="39" t="s">
        <v>384</v>
      </c>
      <c r="B269" s="47" t="s">
        <v>548</v>
      </c>
      <c r="C269" s="39" t="s">
        <v>137</v>
      </c>
      <c r="D269" s="47" t="s">
        <v>547</v>
      </c>
      <c r="E269" s="92">
        <v>3634409</v>
      </c>
      <c r="F269" s="96">
        <v>105</v>
      </c>
      <c r="G269" s="96">
        <v>1</v>
      </c>
      <c r="J269" s="42"/>
      <c r="K269" s="37"/>
      <c r="L269" s="37"/>
      <c r="M269" s="44"/>
      <c r="N269" s="44"/>
      <c r="O269" s="44"/>
      <c r="P269" s="44"/>
      <c r="Q269" s="40"/>
    </row>
    <row r="270" spans="1:17">
      <c r="A270" s="39" t="s">
        <v>385</v>
      </c>
      <c r="B270" s="47" t="s">
        <v>550</v>
      </c>
      <c r="C270" s="39" t="s">
        <v>118</v>
      </c>
      <c r="D270" s="47" t="s">
        <v>547</v>
      </c>
      <c r="E270" s="92">
        <v>3277665</v>
      </c>
      <c r="F270" s="96">
        <v>40</v>
      </c>
      <c r="G270" s="96">
        <v>1</v>
      </c>
      <c r="J270" s="42"/>
      <c r="K270" s="37"/>
      <c r="L270" s="37"/>
      <c r="M270" s="44"/>
      <c r="N270" s="44"/>
      <c r="O270" s="44"/>
      <c r="P270" s="44"/>
      <c r="Q270" s="40"/>
    </row>
    <row r="271" spans="1:17">
      <c r="A271" s="39" t="s">
        <v>386</v>
      </c>
      <c r="B271" s="47" t="s">
        <v>548</v>
      </c>
      <c r="C271" s="39" t="s">
        <v>124</v>
      </c>
      <c r="D271" s="47" t="s">
        <v>547</v>
      </c>
      <c r="E271" s="92">
        <v>4025944</v>
      </c>
      <c r="F271" s="96">
        <v>82</v>
      </c>
      <c r="G271" s="96">
        <v>1</v>
      </c>
      <c r="J271" s="42"/>
      <c r="K271" s="37"/>
      <c r="L271" s="37"/>
      <c r="M271" s="44"/>
      <c r="N271" s="44"/>
      <c r="O271" s="44"/>
      <c r="P271" s="44"/>
      <c r="Q271" s="40"/>
    </row>
    <row r="272" spans="1:17">
      <c r="A272" s="39" t="s">
        <v>387</v>
      </c>
      <c r="B272" s="47" t="s">
        <v>548</v>
      </c>
      <c r="C272" s="39" t="s">
        <v>139</v>
      </c>
      <c r="D272" s="47" t="s">
        <v>549</v>
      </c>
      <c r="E272" s="92">
        <v>7292721</v>
      </c>
      <c r="F272" s="96">
        <v>70</v>
      </c>
      <c r="G272" s="96">
        <v>1</v>
      </c>
      <c r="J272" s="42"/>
      <c r="K272" s="37"/>
      <c r="L272" s="37"/>
      <c r="M272" s="44"/>
      <c r="N272" s="44"/>
      <c r="O272" s="44"/>
      <c r="P272" s="44"/>
      <c r="Q272" s="40"/>
    </row>
    <row r="273" spans="1:17">
      <c r="A273" s="39" t="s">
        <v>388</v>
      </c>
      <c r="B273" s="47" t="s">
        <v>548</v>
      </c>
      <c r="C273" s="39" t="s">
        <v>140</v>
      </c>
      <c r="D273" s="47" t="s">
        <v>549</v>
      </c>
      <c r="E273" s="92">
        <v>2860206</v>
      </c>
      <c r="F273" s="96">
        <v>40</v>
      </c>
      <c r="G273" s="96">
        <v>1</v>
      </c>
      <c r="J273" s="42"/>
      <c r="K273" s="37"/>
      <c r="L273" s="37"/>
      <c r="M273" s="44"/>
      <c r="N273" s="44"/>
      <c r="O273" s="44"/>
      <c r="P273" s="44"/>
      <c r="Q273" s="40"/>
    </row>
    <row r="274" spans="1:17">
      <c r="A274" s="39" t="s">
        <v>389</v>
      </c>
      <c r="B274" s="47" t="s">
        <v>550</v>
      </c>
      <c r="C274" s="39" t="s">
        <v>126</v>
      </c>
      <c r="D274" s="47" t="s">
        <v>547</v>
      </c>
      <c r="E274" s="92">
        <v>5789267</v>
      </c>
      <c r="F274" s="96">
        <v>69</v>
      </c>
      <c r="G274" s="96">
        <v>1</v>
      </c>
      <c r="J274" s="42"/>
      <c r="K274" s="37"/>
      <c r="L274" s="37"/>
      <c r="M274" s="44"/>
      <c r="N274" s="44"/>
      <c r="O274" s="44"/>
      <c r="P274" s="44"/>
      <c r="Q274" s="40"/>
    </row>
    <row r="275" spans="1:17">
      <c r="A275" s="39" t="s">
        <v>390</v>
      </c>
      <c r="B275" s="47" t="s">
        <v>550</v>
      </c>
      <c r="C275" s="39" t="s">
        <v>126</v>
      </c>
      <c r="D275" s="47" t="s">
        <v>547</v>
      </c>
      <c r="E275" s="92">
        <v>1562002</v>
      </c>
      <c r="F275" s="96">
        <v>35</v>
      </c>
      <c r="G275" s="96">
        <v>1</v>
      </c>
      <c r="J275" s="42"/>
      <c r="K275" s="37"/>
      <c r="L275" s="37"/>
      <c r="M275" s="44"/>
      <c r="N275" s="44"/>
      <c r="O275" s="44"/>
      <c r="P275" s="44"/>
      <c r="Q275" s="40"/>
    </row>
    <row r="276" spans="1:17">
      <c r="A276" s="39" t="s">
        <v>391</v>
      </c>
      <c r="B276" s="47" t="s">
        <v>550</v>
      </c>
      <c r="C276" s="39" t="s">
        <v>126</v>
      </c>
      <c r="D276" s="47" t="s">
        <v>549</v>
      </c>
      <c r="E276" s="92">
        <v>1853214</v>
      </c>
      <c r="F276" s="96">
        <v>15</v>
      </c>
      <c r="G276" s="96">
        <v>1</v>
      </c>
      <c r="J276" s="42"/>
      <c r="K276" s="37"/>
      <c r="L276" s="37"/>
      <c r="M276" s="44"/>
      <c r="N276" s="44"/>
      <c r="O276" s="44"/>
      <c r="P276" s="44"/>
      <c r="Q276" s="40"/>
    </row>
    <row r="277" spans="1:17">
      <c r="A277" s="39" t="s">
        <v>631</v>
      </c>
      <c r="B277" s="47" t="s">
        <v>550</v>
      </c>
      <c r="C277" s="39" t="s">
        <v>126</v>
      </c>
      <c r="D277" s="47" t="s">
        <v>547</v>
      </c>
      <c r="E277" s="92">
        <v>3870199</v>
      </c>
      <c r="F277" s="96">
        <v>46</v>
      </c>
      <c r="G277" s="96">
        <v>1</v>
      </c>
      <c r="J277" s="42"/>
      <c r="K277" s="37"/>
      <c r="L277" s="37"/>
      <c r="M277" s="44"/>
      <c r="N277" s="44"/>
      <c r="O277" s="44"/>
      <c r="P277" s="44"/>
      <c r="Q277" s="40"/>
    </row>
    <row r="278" spans="1:17">
      <c r="A278" s="39" t="s">
        <v>392</v>
      </c>
      <c r="B278" s="47" t="s">
        <v>548</v>
      </c>
      <c r="C278" s="39" t="s">
        <v>107</v>
      </c>
      <c r="D278" s="47" t="s">
        <v>549</v>
      </c>
      <c r="E278" s="92">
        <v>12918275</v>
      </c>
      <c r="F278" s="96">
        <v>70</v>
      </c>
      <c r="G278" s="96">
        <v>1</v>
      </c>
      <c r="J278" s="42"/>
      <c r="K278" s="37"/>
      <c r="L278" s="37"/>
      <c r="M278" s="44"/>
      <c r="N278" s="44"/>
      <c r="O278" s="44"/>
      <c r="P278" s="44"/>
      <c r="Q278" s="40"/>
    </row>
    <row r="279" spans="1:17">
      <c r="A279" s="39" t="s">
        <v>393</v>
      </c>
      <c r="B279" s="47" t="s">
        <v>548</v>
      </c>
      <c r="C279" s="39" t="s">
        <v>136</v>
      </c>
      <c r="D279" s="47" t="s">
        <v>549</v>
      </c>
      <c r="E279" s="92">
        <v>9116986</v>
      </c>
      <c r="F279" s="96">
        <v>62</v>
      </c>
      <c r="G279" s="96">
        <v>1</v>
      </c>
      <c r="J279" s="42"/>
      <c r="K279" s="37"/>
      <c r="L279" s="37"/>
      <c r="M279" s="44"/>
      <c r="N279" s="44"/>
      <c r="O279" s="44"/>
      <c r="P279" s="44"/>
      <c r="Q279" s="40"/>
    </row>
    <row r="280" spans="1:17">
      <c r="A280" s="39" t="s">
        <v>394</v>
      </c>
      <c r="B280" s="47" t="s">
        <v>548</v>
      </c>
      <c r="C280" s="39" t="s">
        <v>136</v>
      </c>
      <c r="D280" s="47" t="s">
        <v>547</v>
      </c>
      <c r="E280" s="92">
        <v>12421082</v>
      </c>
      <c r="F280" s="96">
        <v>105</v>
      </c>
      <c r="G280" s="96">
        <v>1</v>
      </c>
      <c r="J280" s="42"/>
      <c r="K280" s="37"/>
      <c r="L280" s="37"/>
      <c r="M280" s="44"/>
      <c r="N280" s="44"/>
      <c r="O280" s="44"/>
      <c r="P280" s="44"/>
      <c r="Q280" s="40"/>
    </row>
    <row r="281" spans="1:17">
      <c r="A281" s="39" t="s">
        <v>582</v>
      </c>
      <c r="B281" s="47" t="s">
        <v>548</v>
      </c>
      <c r="C281" s="39" t="s">
        <v>137</v>
      </c>
      <c r="D281" s="47" t="s">
        <v>547</v>
      </c>
      <c r="E281" s="92">
        <v>5157702</v>
      </c>
      <c r="F281" s="96">
        <v>80</v>
      </c>
      <c r="G281" s="96">
        <v>1</v>
      </c>
      <c r="J281" s="42"/>
      <c r="K281" s="37"/>
      <c r="L281" s="37"/>
      <c r="M281" s="44"/>
      <c r="N281" s="44"/>
      <c r="O281" s="44"/>
      <c r="P281" s="44"/>
      <c r="Q281" s="40"/>
    </row>
    <row r="282" spans="1:17">
      <c r="A282" s="39" t="s">
        <v>583</v>
      </c>
      <c r="B282" s="47" t="s">
        <v>548</v>
      </c>
      <c r="C282" s="39" t="s">
        <v>136</v>
      </c>
      <c r="D282" s="47" t="s">
        <v>547</v>
      </c>
      <c r="E282" s="92">
        <v>7196603</v>
      </c>
      <c r="F282" s="96">
        <v>92</v>
      </c>
      <c r="G282" s="96">
        <v>1</v>
      </c>
      <c r="J282" s="42"/>
      <c r="K282" s="37"/>
      <c r="L282" s="37"/>
      <c r="M282" s="44"/>
      <c r="N282" s="44"/>
      <c r="O282" s="44"/>
      <c r="P282" s="44"/>
      <c r="Q282" s="40"/>
    </row>
    <row r="283" spans="1:17">
      <c r="A283" s="39" t="s">
        <v>395</v>
      </c>
      <c r="B283" s="47" t="s">
        <v>550</v>
      </c>
      <c r="C283" s="39" t="s">
        <v>95</v>
      </c>
      <c r="D283" s="47" t="s">
        <v>547</v>
      </c>
      <c r="E283" s="92">
        <v>1128680</v>
      </c>
      <c r="F283" s="96">
        <v>40</v>
      </c>
      <c r="G283" s="96">
        <v>1</v>
      </c>
      <c r="J283" s="42"/>
      <c r="K283" s="37"/>
      <c r="L283" s="37"/>
      <c r="M283" s="44"/>
      <c r="N283" s="44"/>
      <c r="O283" s="44"/>
      <c r="P283" s="44"/>
      <c r="Q283" s="40"/>
    </row>
    <row r="284" spans="1:17">
      <c r="A284" s="39" t="s">
        <v>396</v>
      </c>
      <c r="B284" s="47" t="s">
        <v>550</v>
      </c>
      <c r="C284" s="39" t="s">
        <v>29</v>
      </c>
      <c r="D284" s="47" t="s">
        <v>547</v>
      </c>
      <c r="E284" s="92">
        <v>2043680</v>
      </c>
      <c r="F284" s="96">
        <v>32</v>
      </c>
      <c r="G284" s="96">
        <v>1</v>
      </c>
      <c r="J284" s="42"/>
      <c r="K284" s="37"/>
      <c r="L284" s="37"/>
      <c r="M284" s="44"/>
      <c r="N284" s="44"/>
      <c r="O284" s="44"/>
      <c r="P284" s="44"/>
      <c r="Q284" s="40"/>
    </row>
    <row r="285" spans="1:17">
      <c r="A285" s="39" t="s">
        <v>33</v>
      </c>
      <c r="B285" s="47" t="s">
        <v>548</v>
      </c>
      <c r="C285" s="39" t="s">
        <v>100</v>
      </c>
      <c r="D285" s="47" t="s">
        <v>549</v>
      </c>
      <c r="E285" s="92">
        <v>2673990</v>
      </c>
      <c r="F285" s="96">
        <v>50</v>
      </c>
      <c r="G285" s="96">
        <v>1</v>
      </c>
      <c r="J285" s="42"/>
      <c r="K285" s="37"/>
      <c r="L285" s="37"/>
      <c r="M285" s="44"/>
      <c r="N285" s="44"/>
      <c r="O285" s="44"/>
      <c r="P285" s="44"/>
      <c r="Q285" s="40"/>
    </row>
    <row r="286" spans="1:17">
      <c r="A286" s="39" t="s">
        <v>584</v>
      </c>
      <c r="B286" s="47" t="s">
        <v>550</v>
      </c>
      <c r="C286" s="39" t="s">
        <v>126</v>
      </c>
      <c r="D286" s="47" t="s">
        <v>547</v>
      </c>
      <c r="E286" s="92">
        <v>1110292</v>
      </c>
      <c r="F286" s="96">
        <v>23</v>
      </c>
      <c r="G286" s="96">
        <v>1</v>
      </c>
      <c r="J286" s="42"/>
      <c r="K286" s="37"/>
      <c r="L286" s="37"/>
      <c r="M286" s="44"/>
      <c r="N286" s="44"/>
      <c r="O286" s="44"/>
      <c r="P286" s="44"/>
      <c r="Q286" s="40"/>
    </row>
    <row r="287" spans="1:17">
      <c r="A287" s="39" t="s">
        <v>397</v>
      </c>
      <c r="B287" s="47" t="s">
        <v>548</v>
      </c>
      <c r="C287" s="39" t="s">
        <v>137</v>
      </c>
      <c r="D287" s="47" t="s">
        <v>549</v>
      </c>
      <c r="E287" s="92">
        <v>10500908</v>
      </c>
      <c r="F287" s="96">
        <v>68</v>
      </c>
      <c r="G287" s="96">
        <v>1</v>
      </c>
      <c r="J287" s="42"/>
      <c r="K287" s="37"/>
      <c r="L287" s="37"/>
      <c r="M287" s="44"/>
      <c r="N287" s="44"/>
      <c r="O287" s="44"/>
      <c r="P287" s="44"/>
      <c r="Q287" s="40"/>
    </row>
    <row r="288" spans="1:17">
      <c r="A288" s="39" t="s">
        <v>398</v>
      </c>
      <c r="B288" s="47" t="s">
        <v>548</v>
      </c>
      <c r="C288" s="39" t="s">
        <v>116</v>
      </c>
      <c r="D288" s="47" t="s">
        <v>547</v>
      </c>
      <c r="E288" s="92">
        <v>5963371</v>
      </c>
      <c r="F288" s="96">
        <v>50</v>
      </c>
      <c r="G288" s="96">
        <v>1</v>
      </c>
      <c r="J288" s="42"/>
      <c r="K288" s="37"/>
      <c r="L288" s="37"/>
      <c r="M288" s="44"/>
      <c r="N288" s="44"/>
      <c r="O288" s="44"/>
      <c r="P288" s="44"/>
      <c r="Q288" s="40"/>
    </row>
    <row r="289" spans="1:17">
      <c r="A289" s="39" t="s">
        <v>632</v>
      </c>
      <c r="B289" s="47" t="s">
        <v>548</v>
      </c>
      <c r="C289" s="39" t="s">
        <v>116</v>
      </c>
      <c r="D289" s="47" t="s">
        <v>547</v>
      </c>
      <c r="E289" s="92">
        <v>3719084</v>
      </c>
      <c r="F289" s="96">
        <v>35</v>
      </c>
      <c r="G289" s="96">
        <v>1</v>
      </c>
      <c r="J289" s="42"/>
      <c r="K289" s="37"/>
      <c r="L289" s="37"/>
      <c r="M289" s="44"/>
      <c r="N289" s="44"/>
      <c r="O289" s="44"/>
      <c r="P289" s="44"/>
      <c r="Q289" s="40"/>
    </row>
    <row r="290" spans="1:17">
      <c r="A290" s="39" t="s">
        <v>399</v>
      </c>
      <c r="B290" s="47" t="s">
        <v>550</v>
      </c>
      <c r="C290" s="39" t="s">
        <v>117</v>
      </c>
      <c r="D290" s="47" t="s">
        <v>549</v>
      </c>
      <c r="E290" s="92">
        <v>8281157</v>
      </c>
      <c r="F290" s="96">
        <v>84</v>
      </c>
      <c r="G290" s="96">
        <v>1</v>
      </c>
      <c r="J290" s="42"/>
      <c r="K290" s="37"/>
      <c r="L290" s="37"/>
      <c r="M290" s="44"/>
      <c r="N290" s="44"/>
      <c r="O290" s="44"/>
      <c r="P290" s="44"/>
      <c r="Q290" s="40"/>
    </row>
    <row r="291" spans="1:17">
      <c r="A291" s="39" t="s">
        <v>400</v>
      </c>
      <c r="B291" s="47" t="s">
        <v>550</v>
      </c>
      <c r="C291" s="39" t="s">
        <v>96</v>
      </c>
      <c r="D291" s="47" t="s">
        <v>547</v>
      </c>
      <c r="E291" s="92">
        <v>4400740</v>
      </c>
      <c r="F291" s="96">
        <v>70</v>
      </c>
      <c r="G291" s="96">
        <v>1</v>
      </c>
      <c r="J291" s="42"/>
      <c r="K291" s="37"/>
      <c r="L291" s="37"/>
      <c r="M291" s="44"/>
      <c r="N291" s="44"/>
      <c r="O291" s="44"/>
      <c r="P291" s="44"/>
      <c r="Q291" s="40"/>
    </row>
    <row r="292" spans="1:17">
      <c r="A292" s="39" t="s">
        <v>401</v>
      </c>
      <c r="B292" s="47" t="s">
        <v>548</v>
      </c>
      <c r="C292" s="39" t="s">
        <v>139</v>
      </c>
      <c r="D292" s="47" t="s">
        <v>547</v>
      </c>
      <c r="E292" s="92">
        <v>2792343</v>
      </c>
      <c r="F292" s="96">
        <v>85</v>
      </c>
      <c r="G292" s="96">
        <v>1</v>
      </c>
      <c r="J292" s="42"/>
      <c r="K292" s="37"/>
      <c r="L292" s="37"/>
      <c r="M292" s="44"/>
      <c r="N292" s="44"/>
      <c r="O292" s="44"/>
      <c r="P292" s="44"/>
      <c r="Q292" s="40"/>
    </row>
    <row r="293" spans="1:17">
      <c r="A293" s="39" t="s">
        <v>402</v>
      </c>
      <c r="B293" s="47" t="s">
        <v>550</v>
      </c>
      <c r="C293" s="39" t="s">
        <v>24</v>
      </c>
      <c r="D293" s="47" t="s">
        <v>547</v>
      </c>
      <c r="E293" s="92">
        <v>2491275</v>
      </c>
      <c r="F293" s="96">
        <v>60</v>
      </c>
      <c r="G293" s="96">
        <v>1</v>
      </c>
      <c r="J293" s="42"/>
      <c r="K293" s="37"/>
      <c r="L293" s="37"/>
      <c r="M293" s="44"/>
      <c r="N293" s="44"/>
      <c r="O293" s="44"/>
      <c r="P293" s="44"/>
      <c r="Q293" s="40"/>
    </row>
    <row r="294" spans="1:17">
      <c r="A294" s="39" t="s">
        <v>403</v>
      </c>
      <c r="B294" s="47" t="s">
        <v>548</v>
      </c>
      <c r="C294" s="39" t="s">
        <v>136</v>
      </c>
      <c r="D294" s="47" t="s">
        <v>549</v>
      </c>
      <c r="E294" s="92">
        <v>5165671</v>
      </c>
      <c r="F294" s="96">
        <v>45</v>
      </c>
      <c r="G294" s="96">
        <v>1</v>
      </c>
      <c r="J294" s="42"/>
      <c r="K294" s="37"/>
      <c r="L294" s="37"/>
      <c r="M294" s="44"/>
      <c r="N294" s="44"/>
      <c r="O294" s="44"/>
      <c r="P294" s="44"/>
      <c r="Q294" s="40"/>
    </row>
    <row r="295" spans="1:17">
      <c r="A295" s="39" t="s">
        <v>404</v>
      </c>
      <c r="B295" s="47" t="s">
        <v>550</v>
      </c>
      <c r="C295" s="39" t="s">
        <v>117</v>
      </c>
      <c r="D295" s="47" t="s">
        <v>547</v>
      </c>
      <c r="E295" s="92">
        <v>5113872</v>
      </c>
      <c r="F295" s="96">
        <v>60</v>
      </c>
      <c r="G295" s="96">
        <v>1</v>
      </c>
      <c r="J295" s="42"/>
      <c r="K295" s="37"/>
      <c r="L295" s="37"/>
      <c r="M295" s="44"/>
      <c r="N295" s="44"/>
      <c r="O295" s="44"/>
      <c r="P295" s="44"/>
      <c r="Q295" s="40"/>
    </row>
    <row r="296" spans="1:17">
      <c r="A296" s="39" t="s">
        <v>405</v>
      </c>
      <c r="B296" s="47" t="s">
        <v>548</v>
      </c>
      <c r="C296" s="39" t="s">
        <v>97</v>
      </c>
      <c r="D296" s="47" t="s">
        <v>549</v>
      </c>
      <c r="E296" s="92">
        <v>12021820</v>
      </c>
      <c r="F296" s="96">
        <v>93</v>
      </c>
      <c r="G296" s="96">
        <v>1</v>
      </c>
      <c r="J296" s="42"/>
      <c r="K296" s="37"/>
      <c r="L296" s="37"/>
      <c r="M296" s="44"/>
      <c r="N296" s="44"/>
      <c r="O296" s="44"/>
      <c r="P296" s="44"/>
      <c r="Q296" s="40"/>
    </row>
    <row r="297" spans="1:17">
      <c r="A297" s="39" t="s">
        <v>406</v>
      </c>
      <c r="B297" s="47" t="s">
        <v>548</v>
      </c>
      <c r="C297" s="39" t="s">
        <v>156</v>
      </c>
      <c r="D297" s="47" t="s">
        <v>549</v>
      </c>
      <c r="E297" s="92">
        <v>3390364</v>
      </c>
      <c r="F297" s="96">
        <v>47</v>
      </c>
      <c r="G297" s="96">
        <v>1</v>
      </c>
      <c r="J297" s="42"/>
      <c r="K297" s="37"/>
      <c r="L297" s="37"/>
      <c r="M297" s="44"/>
      <c r="N297" s="44"/>
      <c r="O297" s="44"/>
      <c r="P297" s="44"/>
      <c r="Q297" s="40"/>
    </row>
    <row r="298" spans="1:17">
      <c r="A298" s="39" t="s">
        <v>407</v>
      </c>
      <c r="B298" s="47" t="s">
        <v>548</v>
      </c>
      <c r="C298" s="39" t="s">
        <v>122</v>
      </c>
      <c r="D298" s="47" t="s">
        <v>549</v>
      </c>
      <c r="E298" s="92">
        <v>6553297</v>
      </c>
      <c r="F298" s="96">
        <v>43</v>
      </c>
      <c r="G298" s="96">
        <v>1</v>
      </c>
      <c r="J298" s="42"/>
      <c r="K298" s="37"/>
      <c r="L298" s="37"/>
      <c r="M298" s="44"/>
      <c r="N298" s="44"/>
      <c r="O298" s="44"/>
      <c r="P298" s="44"/>
      <c r="Q298" s="40"/>
    </row>
    <row r="299" spans="1:17">
      <c r="A299" s="39" t="s">
        <v>408</v>
      </c>
      <c r="B299" s="47" t="s">
        <v>548</v>
      </c>
      <c r="C299" s="39" t="s">
        <v>109</v>
      </c>
      <c r="D299" s="47" t="s">
        <v>549</v>
      </c>
      <c r="E299" s="92">
        <v>10397992</v>
      </c>
      <c r="F299" s="96">
        <v>80</v>
      </c>
      <c r="G299" s="96">
        <v>1</v>
      </c>
      <c r="J299" s="42"/>
      <c r="K299" s="37"/>
      <c r="L299" s="37"/>
      <c r="M299" s="44"/>
      <c r="N299" s="44"/>
      <c r="O299" s="44"/>
      <c r="P299" s="44"/>
      <c r="Q299" s="40"/>
    </row>
    <row r="300" spans="1:17">
      <c r="A300" s="39" t="s">
        <v>409</v>
      </c>
      <c r="B300" s="47" t="s">
        <v>550</v>
      </c>
      <c r="C300" s="39" t="s">
        <v>134</v>
      </c>
      <c r="D300" s="47" t="s">
        <v>547</v>
      </c>
      <c r="E300" s="92">
        <v>298629</v>
      </c>
      <c r="F300" s="96">
        <v>5</v>
      </c>
      <c r="G300" s="96">
        <v>1</v>
      </c>
      <c r="J300" s="42"/>
      <c r="K300" s="37"/>
      <c r="L300" s="37"/>
      <c r="M300" s="44"/>
      <c r="N300" s="44"/>
      <c r="O300" s="44"/>
      <c r="P300" s="44"/>
      <c r="Q300" s="40"/>
    </row>
    <row r="301" spans="1:17">
      <c r="A301" s="39" t="s">
        <v>410</v>
      </c>
      <c r="B301" s="47" t="s">
        <v>548</v>
      </c>
      <c r="C301" s="39" t="s">
        <v>106</v>
      </c>
      <c r="D301" s="47" t="s">
        <v>549</v>
      </c>
      <c r="E301" s="92">
        <v>6751607</v>
      </c>
      <c r="F301" s="96">
        <v>70</v>
      </c>
      <c r="G301" s="96">
        <v>1</v>
      </c>
      <c r="J301" s="42"/>
      <c r="K301" s="37"/>
      <c r="L301" s="37"/>
      <c r="M301" s="44"/>
      <c r="N301" s="44"/>
      <c r="O301" s="44"/>
      <c r="P301" s="44"/>
      <c r="Q301" s="40"/>
    </row>
    <row r="302" spans="1:17">
      <c r="A302" s="39" t="s">
        <v>411</v>
      </c>
      <c r="B302" s="47" t="s">
        <v>548</v>
      </c>
      <c r="C302" s="39" t="s">
        <v>102</v>
      </c>
      <c r="D302" s="47" t="s">
        <v>549</v>
      </c>
      <c r="E302" s="92">
        <v>4502471</v>
      </c>
      <c r="F302" s="96">
        <v>40</v>
      </c>
      <c r="G302" s="96">
        <v>1</v>
      </c>
      <c r="J302" s="42"/>
      <c r="K302" s="37"/>
      <c r="L302" s="37"/>
      <c r="M302" s="44"/>
      <c r="N302" s="44"/>
      <c r="O302" s="44"/>
      <c r="P302" s="44"/>
      <c r="Q302" s="40"/>
    </row>
    <row r="303" spans="1:17">
      <c r="A303" s="39" t="s">
        <v>412</v>
      </c>
      <c r="B303" s="47" t="s">
        <v>548</v>
      </c>
      <c r="C303" s="39" t="s">
        <v>32</v>
      </c>
      <c r="D303" s="47" t="s">
        <v>549</v>
      </c>
      <c r="E303" s="92">
        <v>2908357</v>
      </c>
      <c r="F303" s="96">
        <v>30</v>
      </c>
      <c r="G303" s="96">
        <v>1</v>
      </c>
      <c r="J303" s="42"/>
      <c r="K303" s="37"/>
      <c r="L303" s="37"/>
      <c r="M303" s="44"/>
      <c r="N303" s="44"/>
      <c r="O303" s="44"/>
      <c r="P303" s="44"/>
      <c r="Q303" s="40"/>
    </row>
    <row r="304" spans="1:17">
      <c r="A304" s="39" t="s">
        <v>633</v>
      </c>
      <c r="B304" s="47" t="s">
        <v>548</v>
      </c>
      <c r="C304" s="39" t="s">
        <v>139</v>
      </c>
      <c r="D304" s="47" t="s">
        <v>547</v>
      </c>
      <c r="E304" s="92">
        <v>2469173</v>
      </c>
      <c r="F304" s="96">
        <v>47</v>
      </c>
      <c r="G304" s="96">
        <v>1</v>
      </c>
      <c r="J304" s="42"/>
      <c r="K304" s="37"/>
      <c r="L304" s="37"/>
      <c r="M304" s="44"/>
      <c r="N304" s="44"/>
      <c r="O304" s="44"/>
      <c r="P304" s="44"/>
      <c r="Q304" s="40"/>
    </row>
    <row r="305" spans="1:17">
      <c r="A305" s="39" t="s">
        <v>413</v>
      </c>
      <c r="B305" s="47" t="s">
        <v>548</v>
      </c>
      <c r="C305" s="39" t="s">
        <v>139</v>
      </c>
      <c r="D305" s="47" t="s">
        <v>549</v>
      </c>
      <c r="E305" s="92">
        <v>5801145</v>
      </c>
      <c r="F305" s="96">
        <v>42</v>
      </c>
      <c r="G305" s="96">
        <v>1</v>
      </c>
      <c r="J305" s="42"/>
      <c r="K305" s="37"/>
      <c r="L305" s="37"/>
      <c r="M305" s="44"/>
      <c r="N305" s="44"/>
      <c r="O305" s="44"/>
      <c r="P305" s="44"/>
      <c r="Q305" s="40"/>
    </row>
    <row r="306" spans="1:17">
      <c r="A306" s="39" t="s">
        <v>414</v>
      </c>
      <c r="B306" s="47" t="s">
        <v>548</v>
      </c>
      <c r="C306" s="39" t="s">
        <v>140</v>
      </c>
      <c r="D306" s="47" t="s">
        <v>547</v>
      </c>
      <c r="E306" s="92">
        <v>2400706</v>
      </c>
      <c r="F306" s="96">
        <v>35</v>
      </c>
      <c r="G306" s="96">
        <v>1</v>
      </c>
      <c r="J306" s="42"/>
      <c r="K306" s="37"/>
      <c r="L306" s="37"/>
      <c r="M306" s="44"/>
      <c r="N306" s="44"/>
      <c r="O306" s="44"/>
      <c r="P306" s="44"/>
      <c r="Q306" s="40"/>
    </row>
    <row r="307" spans="1:17">
      <c r="A307" s="39" t="s">
        <v>415</v>
      </c>
      <c r="B307" s="47" t="s">
        <v>550</v>
      </c>
      <c r="C307" s="39" t="s">
        <v>117</v>
      </c>
      <c r="D307" s="47" t="s">
        <v>549</v>
      </c>
      <c r="E307" s="92">
        <v>5140956</v>
      </c>
      <c r="F307" s="96">
        <v>55</v>
      </c>
      <c r="G307" s="96">
        <v>1</v>
      </c>
      <c r="J307" s="42"/>
      <c r="K307" s="37"/>
      <c r="L307" s="37"/>
      <c r="M307" s="44"/>
      <c r="N307" s="44"/>
      <c r="O307" s="44"/>
      <c r="P307" s="44"/>
      <c r="Q307" s="40"/>
    </row>
    <row r="308" spans="1:17">
      <c r="A308" s="39" t="s">
        <v>416</v>
      </c>
      <c r="B308" s="47" t="s">
        <v>550</v>
      </c>
      <c r="C308" s="39" t="s">
        <v>118</v>
      </c>
      <c r="D308" s="47" t="s">
        <v>549</v>
      </c>
      <c r="E308" s="92">
        <v>2248381</v>
      </c>
      <c r="F308" s="96">
        <v>20</v>
      </c>
      <c r="G308" s="96">
        <v>1</v>
      </c>
      <c r="J308" s="42"/>
      <c r="K308" s="37"/>
      <c r="L308" s="37"/>
      <c r="M308" s="44"/>
      <c r="N308" s="44"/>
      <c r="O308" s="44"/>
      <c r="P308" s="44"/>
      <c r="Q308" s="40"/>
    </row>
    <row r="309" spans="1:17">
      <c r="A309" s="39" t="s">
        <v>634</v>
      </c>
      <c r="B309" s="47" t="s">
        <v>550</v>
      </c>
      <c r="C309" s="39" t="s">
        <v>98</v>
      </c>
      <c r="D309" s="47" t="s">
        <v>547</v>
      </c>
      <c r="E309" s="92">
        <v>6662637</v>
      </c>
      <c r="F309" s="96">
        <v>58</v>
      </c>
      <c r="G309" s="96">
        <v>1</v>
      </c>
      <c r="J309" s="42"/>
      <c r="K309" s="37"/>
      <c r="L309" s="37"/>
      <c r="M309" s="44"/>
      <c r="N309" s="44"/>
      <c r="O309" s="44"/>
      <c r="P309" s="44"/>
      <c r="Q309" s="40"/>
    </row>
    <row r="310" spans="1:17">
      <c r="A310" s="39" t="s">
        <v>417</v>
      </c>
      <c r="B310" s="47" t="s">
        <v>550</v>
      </c>
      <c r="C310" s="39" t="s">
        <v>117</v>
      </c>
      <c r="D310" s="47" t="s">
        <v>549</v>
      </c>
      <c r="E310" s="92">
        <v>3212646</v>
      </c>
      <c r="F310" s="96">
        <v>28</v>
      </c>
      <c r="G310" s="96">
        <v>1</v>
      </c>
      <c r="J310" s="42"/>
      <c r="K310" s="37"/>
      <c r="L310" s="37"/>
      <c r="M310" s="44"/>
      <c r="N310" s="44"/>
      <c r="O310" s="44"/>
      <c r="P310" s="44"/>
      <c r="Q310" s="40"/>
    </row>
    <row r="311" spans="1:17">
      <c r="A311" s="39" t="s">
        <v>418</v>
      </c>
      <c r="B311" s="47" t="s">
        <v>548</v>
      </c>
      <c r="C311" s="39" t="s">
        <v>111</v>
      </c>
      <c r="D311" s="47" t="s">
        <v>549</v>
      </c>
      <c r="E311" s="92">
        <v>5799462</v>
      </c>
      <c r="F311" s="96">
        <v>58</v>
      </c>
      <c r="G311" s="96">
        <v>1</v>
      </c>
      <c r="J311" s="42"/>
      <c r="K311" s="37"/>
      <c r="L311" s="37"/>
      <c r="M311" s="44"/>
      <c r="N311" s="44"/>
      <c r="O311" s="44"/>
      <c r="P311" s="44"/>
      <c r="Q311" s="40"/>
    </row>
    <row r="312" spans="1:17">
      <c r="A312" s="39" t="s">
        <v>419</v>
      </c>
      <c r="B312" s="47" t="s">
        <v>550</v>
      </c>
      <c r="C312" s="39" t="s">
        <v>150</v>
      </c>
      <c r="D312" s="47" t="s">
        <v>549</v>
      </c>
      <c r="E312" s="92">
        <v>4568096</v>
      </c>
      <c r="F312" s="96">
        <v>44</v>
      </c>
      <c r="G312" s="96">
        <v>1</v>
      </c>
      <c r="J312" s="42"/>
      <c r="K312" s="37"/>
      <c r="L312" s="37"/>
      <c r="M312" s="44"/>
      <c r="N312" s="44"/>
      <c r="O312" s="44"/>
      <c r="P312" s="44"/>
      <c r="Q312" s="40"/>
    </row>
    <row r="313" spans="1:17">
      <c r="A313" s="39" t="s">
        <v>420</v>
      </c>
      <c r="B313" s="47" t="s">
        <v>548</v>
      </c>
      <c r="C313" s="39" t="s">
        <v>116</v>
      </c>
      <c r="D313" s="47" t="s">
        <v>549</v>
      </c>
      <c r="E313" s="92">
        <v>3745151</v>
      </c>
      <c r="F313" s="96">
        <v>25</v>
      </c>
      <c r="G313" s="96">
        <v>1</v>
      </c>
      <c r="J313" s="42"/>
      <c r="K313" s="37"/>
      <c r="L313" s="37"/>
      <c r="M313" s="44"/>
      <c r="N313" s="44"/>
      <c r="O313" s="44"/>
      <c r="P313" s="44"/>
      <c r="Q313" s="40"/>
    </row>
    <row r="314" spans="1:17">
      <c r="A314" s="39" t="s">
        <v>421</v>
      </c>
      <c r="B314" s="47" t="s">
        <v>548</v>
      </c>
      <c r="C314" s="39" t="s">
        <v>132</v>
      </c>
      <c r="D314" s="47" t="s">
        <v>549</v>
      </c>
      <c r="E314" s="92">
        <v>6563915</v>
      </c>
      <c r="F314" s="96">
        <v>63</v>
      </c>
      <c r="G314" s="96">
        <v>1</v>
      </c>
      <c r="J314" s="42"/>
      <c r="K314" s="37"/>
      <c r="L314" s="37"/>
      <c r="M314" s="44"/>
      <c r="N314" s="44"/>
      <c r="O314" s="44"/>
      <c r="P314" s="44"/>
      <c r="Q314" s="40"/>
    </row>
    <row r="315" spans="1:17">
      <c r="A315" s="39" t="s">
        <v>422</v>
      </c>
      <c r="B315" s="47" t="s">
        <v>548</v>
      </c>
      <c r="C315" s="39" t="s">
        <v>153</v>
      </c>
      <c r="D315" s="47" t="s">
        <v>549</v>
      </c>
      <c r="E315" s="92">
        <v>22526663</v>
      </c>
      <c r="F315" s="96">
        <v>100</v>
      </c>
      <c r="G315" s="96">
        <v>1</v>
      </c>
      <c r="J315" s="42"/>
      <c r="K315" s="37"/>
      <c r="L315" s="37"/>
      <c r="M315" s="44"/>
      <c r="N315" s="44"/>
      <c r="O315" s="44"/>
      <c r="P315" s="44"/>
      <c r="Q315" s="40"/>
    </row>
    <row r="316" spans="1:17">
      <c r="A316" s="39" t="s">
        <v>423</v>
      </c>
      <c r="B316" s="47" t="s">
        <v>550</v>
      </c>
      <c r="C316" s="39" t="s">
        <v>117</v>
      </c>
      <c r="D316" s="47" t="s">
        <v>547</v>
      </c>
      <c r="E316" s="92">
        <v>1563848</v>
      </c>
      <c r="F316" s="96">
        <v>35</v>
      </c>
      <c r="G316" s="96">
        <v>1</v>
      </c>
      <c r="J316" s="42"/>
      <c r="K316" s="37"/>
      <c r="L316" s="37"/>
      <c r="M316" s="44"/>
      <c r="N316" s="44"/>
      <c r="O316" s="44"/>
      <c r="P316" s="44"/>
      <c r="Q316" s="40"/>
    </row>
    <row r="317" spans="1:17">
      <c r="A317" s="39" t="s">
        <v>424</v>
      </c>
      <c r="B317" s="47" t="s">
        <v>550</v>
      </c>
      <c r="C317" s="39" t="s">
        <v>117</v>
      </c>
      <c r="D317" s="47" t="s">
        <v>547</v>
      </c>
      <c r="E317" s="92">
        <v>6548999</v>
      </c>
      <c r="F317" s="96">
        <v>65</v>
      </c>
      <c r="G317" s="96">
        <v>1</v>
      </c>
      <c r="J317" s="42"/>
      <c r="K317" s="37"/>
      <c r="L317" s="37"/>
      <c r="M317" s="44"/>
      <c r="N317" s="44"/>
      <c r="O317" s="44"/>
      <c r="P317" s="44"/>
      <c r="Q317" s="40"/>
    </row>
    <row r="318" spans="1:17">
      <c r="A318" s="39" t="s">
        <v>425</v>
      </c>
      <c r="B318" s="47" t="s">
        <v>550</v>
      </c>
      <c r="C318" s="39" t="s">
        <v>113</v>
      </c>
      <c r="D318" s="47" t="s">
        <v>547</v>
      </c>
      <c r="E318" s="92">
        <v>1309396</v>
      </c>
      <c r="F318" s="96">
        <v>25</v>
      </c>
      <c r="G318" s="96">
        <v>1</v>
      </c>
      <c r="J318" s="42"/>
      <c r="K318" s="37"/>
      <c r="L318" s="37"/>
      <c r="M318" s="44"/>
      <c r="N318" s="44"/>
      <c r="O318" s="44"/>
      <c r="P318" s="44"/>
      <c r="Q318" s="40"/>
    </row>
    <row r="319" spans="1:17">
      <c r="A319" s="39" t="s">
        <v>635</v>
      </c>
      <c r="B319" s="47" t="s">
        <v>550</v>
      </c>
      <c r="C319" s="39" t="s">
        <v>113</v>
      </c>
      <c r="D319" s="47" t="s">
        <v>547</v>
      </c>
      <c r="E319" s="92">
        <v>2226496</v>
      </c>
      <c r="F319" s="96">
        <v>40</v>
      </c>
      <c r="G319" s="96">
        <v>1</v>
      </c>
      <c r="J319" s="42"/>
      <c r="K319" s="37"/>
      <c r="L319" s="37"/>
      <c r="M319" s="44"/>
      <c r="N319" s="44"/>
      <c r="O319" s="44"/>
      <c r="P319" s="44"/>
      <c r="Q319" s="40"/>
    </row>
    <row r="320" spans="1:17">
      <c r="A320" s="39" t="s">
        <v>426</v>
      </c>
      <c r="B320" s="47" t="s">
        <v>548</v>
      </c>
      <c r="C320" s="39" t="s">
        <v>130</v>
      </c>
      <c r="D320" s="47" t="s">
        <v>549</v>
      </c>
      <c r="E320" s="92">
        <v>6354458</v>
      </c>
      <c r="F320" s="96">
        <v>47</v>
      </c>
      <c r="G320" s="96">
        <v>1</v>
      </c>
      <c r="J320" s="42"/>
      <c r="K320" s="37"/>
      <c r="L320" s="37"/>
      <c r="M320" s="44"/>
      <c r="N320" s="44"/>
      <c r="O320" s="44"/>
      <c r="P320" s="44"/>
      <c r="Q320" s="40"/>
    </row>
    <row r="321" spans="1:17">
      <c r="A321" s="39" t="s">
        <v>427</v>
      </c>
      <c r="B321" s="47" t="s">
        <v>548</v>
      </c>
      <c r="C321" s="39" t="s">
        <v>147</v>
      </c>
      <c r="D321" s="47" t="s">
        <v>547</v>
      </c>
      <c r="E321" s="92">
        <v>5484711</v>
      </c>
      <c r="F321" s="96">
        <v>81</v>
      </c>
      <c r="G321" s="96">
        <v>1</v>
      </c>
      <c r="J321" s="42"/>
      <c r="K321" s="37"/>
      <c r="L321" s="37"/>
      <c r="M321" s="44"/>
      <c r="N321" s="44"/>
      <c r="O321" s="44"/>
      <c r="P321" s="44"/>
      <c r="Q321" s="40"/>
    </row>
    <row r="322" spans="1:17">
      <c r="A322" s="39" t="s">
        <v>428</v>
      </c>
      <c r="B322" s="47" t="s">
        <v>548</v>
      </c>
      <c r="C322" s="39" t="s">
        <v>109</v>
      </c>
      <c r="D322" s="47" t="s">
        <v>549</v>
      </c>
      <c r="E322" s="92">
        <v>4398668</v>
      </c>
      <c r="F322" s="96">
        <v>40</v>
      </c>
      <c r="G322" s="96">
        <v>1</v>
      </c>
      <c r="J322" s="42"/>
      <c r="K322" s="37"/>
      <c r="L322" s="37"/>
      <c r="M322" s="44"/>
      <c r="N322" s="44"/>
      <c r="O322" s="44"/>
      <c r="P322" s="44"/>
      <c r="Q322" s="40"/>
    </row>
    <row r="323" spans="1:17">
      <c r="A323" s="39" t="s">
        <v>429</v>
      </c>
      <c r="B323" s="47" t="s">
        <v>548</v>
      </c>
      <c r="C323" s="39" t="s">
        <v>107</v>
      </c>
      <c r="D323" s="47" t="s">
        <v>549</v>
      </c>
      <c r="E323" s="92">
        <v>15285909</v>
      </c>
      <c r="F323" s="96">
        <v>79</v>
      </c>
      <c r="G323" s="96">
        <v>1</v>
      </c>
      <c r="J323" s="42"/>
      <c r="K323" s="37"/>
      <c r="L323" s="37"/>
      <c r="M323" s="44"/>
      <c r="N323" s="44"/>
      <c r="O323" s="44"/>
      <c r="P323" s="44"/>
      <c r="Q323" s="40"/>
    </row>
    <row r="324" spans="1:17">
      <c r="A324" s="39" t="s">
        <v>430</v>
      </c>
      <c r="B324" s="47" t="s">
        <v>548</v>
      </c>
      <c r="C324" s="39" t="s">
        <v>32</v>
      </c>
      <c r="D324" s="47" t="s">
        <v>549</v>
      </c>
      <c r="E324" s="92" t="s">
        <v>656</v>
      </c>
      <c r="F324" s="96">
        <v>0</v>
      </c>
      <c r="G324" s="96">
        <v>1</v>
      </c>
      <c r="J324" s="42"/>
      <c r="K324" s="37"/>
      <c r="L324" s="37"/>
      <c r="M324" s="44"/>
      <c r="N324" s="44"/>
      <c r="O324" s="44"/>
      <c r="P324" s="44"/>
      <c r="Q324" s="40"/>
    </row>
    <row r="325" spans="1:17">
      <c r="A325" s="39" t="s">
        <v>551</v>
      </c>
      <c r="B325" s="47" t="s">
        <v>550</v>
      </c>
      <c r="C325" s="39" t="s">
        <v>27</v>
      </c>
      <c r="D325" s="47" t="s">
        <v>547</v>
      </c>
      <c r="E325" s="92">
        <v>1464203</v>
      </c>
      <c r="F325" s="96">
        <v>30</v>
      </c>
      <c r="G325" s="96">
        <v>1</v>
      </c>
      <c r="J325" s="42"/>
      <c r="K325" s="37"/>
      <c r="L325" s="37"/>
      <c r="M325" s="44"/>
      <c r="N325" s="44"/>
      <c r="O325" s="44"/>
      <c r="P325" s="44"/>
      <c r="Q325" s="40"/>
    </row>
    <row r="326" spans="1:17">
      <c r="A326" s="39" t="s">
        <v>431</v>
      </c>
      <c r="B326" s="47" t="s">
        <v>548</v>
      </c>
      <c r="C326" s="39" t="s">
        <v>147</v>
      </c>
      <c r="D326" s="47" t="s">
        <v>549</v>
      </c>
      <c r="E326" s="92">
        <v>2015472</v>
      </c>
      <c r="F326" s="96">
        <v>40</v>
      </c>
      <c r="G326" s="96">
        <v>1</v>
      </c>
      <c r="J326" s="42"/>
      <c r="K326" s="37"/>
      <c r="L326" s="37"/>
      <c r="M326" s="44"/>
      <c r="N326" s="44"/>
      <c r="O326" s="44"/>
      <c r="P326" s="44"/>
      <c r="Q326" s="40"/>
    </row>
    <row r="327" spans="1:17">
      <c r="A327" s="39" t="s">
        <v>432</v>
      </c>
      <c r="B327" s="47" t="s">
        <v>548</v>
      </c>
      <c r="C327" s="39" t="s">
        <v>154</v>
      </c>
      <c r="D327" s="47" t="s">
        <v>549</v>
      </c>
      <c r="E327" s="92">
        <v>4969979</v>
      </c>
      <c r="F327" s="96">
        <v>52</v>
      </c>
      <c r="G327" s="96">
        <v>1</v>
      </c>
      <c r="J327" s="42"/>
      <c r="K327" s="37"/>
      <c r="L327" s="37"/>
      <c r="M327" s="44"/>
      <c r="N327" s="44"/>
      <c r="O327" s="44"/>
      <c r="P327" s="44"/>
      <c r="Q327" s="40"/>
    </row>
    <row r="328" spans="1:17">
      <c r="A328" s="39" t="s">
        <v>433</v>
      </c>
      <c r="B328" s="47" t="s">
        <v>550</v>
      </c>
      <c r="C328" s="39" t="s">
        <v>158</v>
      </c>
      <c r="D328" s="47" t="s">
        <v>549</v>
      </c>
      <c r="E328" s="92">
        <v>2301261</v>
      </c>
      <c r="F328" s="96">
        <v>19</v>
      </c>
      <c r="G328" s="96">
        <v>1</v>
      </c>
      <c r="J328" s="42"/>
      <c r="K328" s="37"/>
      <c r="L328" s="37"/>
      <c r="M328" s="44"/>
      <c r="N328" s="44"/>
      <c r="O328" s="44"/>
      <c r="P328" s="44"/>
      <c r="Q328" s="40"/>
    </row>
    <row r="329" spans="1:17">
      <c r="A329" s="39" t="s">
        <v>434</v>
      </c>
      <c r="B329" s="47" t="s">
        <v>550</v>
      </c>
      <c r="C329" s="39" t="s">
        <v>135</v>
      </c>
      <c r="D329" s="47" t="s">
        <v>549</v>
      </c>
      <c r="E329" s="92">
        <v>4384052</v>
      </c>
      <c r="F329" s="96">
        <v>33</v>
      </c>
      <c r="G329" s="96">
        <v>1</v>
      </c>
      <c r="J329" s="42"/>
      <c r="K329" s="37"/>
      <c r="L329" s="37"/>
      <c r="M329" s="44"/>
      <c r="N329" s="44"/>
      <c r="O329" s="44"/>
      <c r="P329" s="44"/>
      <c r="Q329" s="40"/>
    </row>
    <row r="330" spans="1:17">
      <c r="A330" s="39" t="s">
        <v>435</v>
      </c>
      <c r="B330" s="47" t="s">
        <v>550</v>
      </c>
      <c r="C330" s="39" t="s">
        <v>134</v>
      </c>
      <c r="D330" s="47" t="s">
        <v>547</v>
      </c>
      <c r="E330" s="92">
        <v>3270777</v>
      </c>
      <c r="F330" s="96">
        <v>34</v>
      </c>
      <c r="G330" s="96">
        <v>1</v>
      </c>
      <c r="J330" s="42"/>
      <c r="K330" s="37"/>
      <c r="L330" s="37"/>
      <c r="M330" s="44"/>
      <c r="N330" s="44"/>
      <c r="O330" s="44"/>
      <c r="P330" s="44"/>
      <c r="Q330" s="40"/>
    </row>
    <row r="331" spans="1:17">
      <c r="A331" s="39" t="s">
        <v>436</v>
      </c>
      <c r="B331" s="47" t="s">
        <v>550</v>
      </c>
      <c r="C331" s="39" t="s">
        <v>96</v>
      </c>
      <c r="D331" s="47" t="s">
        <v>549</v>
      </c>
      <c r="E331" s="92">
        <v>4356804</v>
      </c>
      <c r="F331" s="96">
        <v>54</v>
      </c>
      <c r="G331" s="96">
        <v>1</v>
      </c>
      <c r="J331" s="42"/>
      <c r="K331" s="37"/>
      <c r="L331" s="37"/>
      <c r="M331" s="44"/>
      <c r="N331" s="44"/>
      <c r="O331" s="44"/>
      <c r="P331" s="44"/>
      <c r="Q331" s="40"/>
    </row>
    <row r="332" spans="1:17">
      <c r="A332" s="39" t="s">
        <v>636</v>
      </c>
      <c r="B332" s="47" t="s">
        <v>548</v>
      </c>
      <c r="C332" s="39" t="s">
        <v>109</v>
      </c>
      <c r="D332" s="47" t="s">
        <v>547</v>
      </c>
      <c r="E332" s="92">
        <v>4360788</v>
      </c>
      <c r="F332" s="96">
        <v>68</v>
      </c>
      <c r="G332" s="96">
        <v>1</v>
      </c>
      <c r="J332" s="42"/>
      <c r="K332" s="37"/>
      <c r="L332" s="37"/>
      <c r="M332" s="44"/>
      <c r="N332" s="44"/>
      <c r="O332" s="44"/>
      <c r="P332" s="44"/>
      <c r="Q332" s="40"/>
    </row>
    <row r="333" spans="1:17">
      <c r="A333" s="39" t="s">
        <v>437</v>
      </c>
      <c r="B333" s="47" t="s">
        <v>548</v>
      </c>
      <c r="C333" s="39" t="s">
        <v>120</v>
      </c>
      <c r="D333" s="47" t="s">
        <v>549</v>
      </c>
      <c r="E333" s="92">
        <v>2569227</v>
      </c>
      <c r="F333" s="96">
        <v>40</v>
      </c>
      <c r="G333" s="96">
        <v>1</v>
      </c>
      <c r="J333" s="42"/>
      <c r="K333" s="37"/>
      <c r="L333" s="37"/>
      <c r="M333" s="44"/>
      <c r="N333" s="44"/>
      <c r="O333" s="44"/>
      <c r="P333" s="44"/>
      <c r="Q333" s="40"/>
    </row>
    <row r="334" spans="1:17">
      <c r="A334" s="39" t="s">
        <v>637</v>
      </c>
      <c r="B334" s="47" t="s">
        <v>548</v>
      </c>
      <c r="C334" s="39" t="s">
        <v>131</v>
      </c>
      <c r="D334" s="47" t="s">
        <v>547</v>
      </c>
      <c r="E334" s="92">
        <v>4550186</v>
      </c>
      <c r="F334" s="96">
        <v>70</v>
      </c>
      <c r="G334" s="96">
        <v>1</v>
      </c>
      <c r="J334" s="42"/>
      <c r="K334" s="37"/>
      <c r="L334" s="37"/>
      <c r="M334" s="44"/>
      <c r="N334" s="44"/>
      <c r="O334" s="44"/>
      <c r="P334" s="44"/>
      <c r="Q334" s="40"/>
    </row>
    <row r="335" spans="1:17">
      <c r="A335" s="39" t="s">
        <v>438</v>
      </c>
      <c r="B335" s="47" t="s">
        <v>550</v>
      </c>
      <c r="C335" s="39" t="s">
        <v>115</v>
      </c>
      <c r="D335" s="47" t="s">
        <v>549</v>
      </c>
      <c r="E335" s="92">
        <v>4032874</v>
      </c>
      <c r="F335" s="96">
        <v>35</v>
      </c>
      <c r="G335" s="96">
        <v>1</v>
      </c>
      <c r="J335" s="42"/>
      <c r="K335" s="37"/>
      <c r="L335" s="37"/>
      <c r="M335" s="44"/>
      <c r="N335" s="44"/>
      <c r="O335" s="44"/>
      <c r="P335" s="44"/>
      <c r="Q335" s="40"/>
    </row>
    <row r="336" spans="1:17">
      <c r="A336" s="39" t="s">
        <v>439</v>
      </c>
      <c r="B336" s="47" t="s">
        <v>548</v>
      </c>
      <c r="C336" s="39" t="s">
        <v>102</v>
      </c>
      <c r="D336" s="47" t="s">
        <v>549</v>
      </c>
      <c r="E336" s="92">
        <v>2918882</v>
      </c>
      <c r="F336" s="96">
        <v>42</v>
      </c>
      <c r="G336" s="96">
        <v>1</v>
      </c>
      <c r="J336" s="42"/>
      <c r="K336" s="37"/>
      <c r="L336" s="37"/>
      <c r="M336" s="44"/>
      <c r="N336" s="44"/>
      <c r="O336" s="44"/>
      <c r="P336" s="44"/>
      <c r="Q336" s="40"/>
    </row>
    <row r="337" spans="1:17">
      <c r="A337" s="39" t="s">
        <v>440</v>
      </c>
      <c r="B337" s="47" t="s">
        <v>548</v>
      </c>
      <c r="C337" s="39" t="s">
        <v>111</v>
      </c>
      <c r="D337" s="47" t="s">
        <v>549</v>
      </c>
      <c r="E337" s="92">
        <v>3630600</v>
      </c>
      <c r="F337" s="96">
        <v>40</v>
      </c>
      <c r="G337" s="96">
        <v>1</v>
      </c>
      <c r="J337" s="42"/>
      <c r="K337" s="37"/>
      <c r="L337" s="37"/>
      <c r="M337" s="44"/>
      <c r="N337" s="44"/>
      <c r="O337" s="44"/>
      <c r="P337" s="44"/>
      <c r="Q337" s="40"/>
    </row>
    <row r="338" spans="1:17">
      <c r="A338" s="39" t="s">
        <v>441</v>
      </c>
      <c r="B338" s="47" t="s">
        <v>550</v>
      </c>
      <c r="C338" s="39" t="s">
        <v>96</v>
      </c>
      <c r="D338" s="47" t="s">
        <v>549</v>
      </c>
      <c r="E338" s="92">
        <v>2260000</v>
      </c>
      <c r="F338" s="96">
        <v>27</v>
      </c>
      <c r="G338" s="96">
        <v>1</v>
      </c>
      <c r="J338" s="42"/>
      <c r="K338" s="37"/>
      <c r="L338" s="37"/>
      <c r="M338" s="44"/>
      <c r="N338" s="44"/>
      <c r="O338" s="44"/>
      <c r="P338" s="44"/>
      <c r="Q338" s="40"/>
    </row>
    <row r="339" spans="1:17">
      <c r="A339" s="39" t="s">
        <v>442</v>
      </c>
      <c r="B339" s="47" t="s">
        <v>550</v>
      </c>
      <c r="C339" s="39" t="s">
        <v>149</v>
      </c>
      <c r="D339" s="47" t="s">
        <v>547</v>
      </c>
      <c r="E339" s="92">
        <v>4588668</v>
      </c>
      <c r="F339" s="96">
        <v>68</v>
      </c>
      <c r="G339" s="96">
        <v>1</v>
      </c>
      <c r="J339" s="42"/>
      <c r="K339" s="37"/>
      <c r="L339" s="37"/>
      <c r="M339" s="44"/>
      <c r="N339" s="44"/>
      <c r="O339" s="44"/>
      <c r="P339" s="44"/>
      <c r="Q339" s="40"/>
    </row>
    <row r="340" spans="1:17">
      <c r="A340" s="39" t="s">
        <v>559</v>
      </c>
      <c r="B340" s="47" t="s">
        <v>548</v>
      </c>
      <c r="C340" s="39" t="s">
        <v>109</v>
      </c>
      <c r="D340" s="47" t="s">
        <v>549</v>
      </c>
      <c r="E340" s="92">
        <v>4497852</v>
      </c>
      <c r="F340" s="96">
        <v>44</v>
      </c>
      <c r="G340" s="96">
        <v>1</v>
      </c>
      <c r="J340" s="42"/>
      <c r="K340" s="37"/>
      <c r="L340" s="37"/>
      <c r="M340" s="44"/>
      <c r="N340" s="44"/>
      <c r="O340" s="44"/>
      <c r="P340" s="44"/>
      <c r="Q340" s="40"/>
    </row>
    <row r="341" spans="1:17">
      <c r="A341" s="39" t="s">
        <v>443</v>
      </c>
      <c r="B341" s="47" t="s">
        <v>548</v>
      </c>
      <c r="C341" s="39" t="s">
        <v>140</v>
      </c>
      <c r="D341" s="47" t="s">
        <v>547</v>
      </c>
      <c r="E341" s="92">
        <v>729400</v>
      </c>
      <c r="F341" s="96">
        <v>40</v>
      </c>
      <c r="G341" s="96">
        <v>1</v>
      </c>
      <c r="J341" s="42"/>
      <c r="K341" s="37"/>
      <c r="L341" s="37"/>
      <c r="M341" s="44"/>
      <c r="N341" s="44"/>
      <c r="O341" s="44"/>
      <c r="P341" s="44"/>
      <c r="Q341" s="40"/>
    </row>
    <row r="342" spans="1:17">
      <c r="A342" s="39" t="s">
        <v>444</v>
      </c>
      <c r="B342" s="47" t="s">
        <v>548</v>
      </c>
      <c r="C342" s="39" t="s">
        <v>140</v>
      </c>
      <c r="D342" s="47" t="s">
        <v>549</v>
      </c>
      <c r="E342" s="92">
        <v>13713130</v>
      </c>
      <c r="F342" s="96">
        <v>70</v>
      </c>
      <c r="G342" s="96">
        <v>1</v>
      </c>
      <c r="J342" s="42"/>
      <c r="K342" s="37"/>
      <c r="L342" s="37"/>
      <c r="M342" s="44"/>
      <c r="N342" s="44"/>
      <c r="O342" s="44"/>
      <c r="P342" s="44"/>
      <c r="Q342" s="40"/>
    </row>
    <row r="343" spans="1:17">
      <c r="A343" s="39" t="s">
        <v>638</v>
      </c>
      <c r="B343" s="47" t="s">
        <v>548</v>
      </c>
      <c r="C343" s="39" t="s">
        <v>140</v>
      </c>
      <c r="D343" s="47" t="s">
        <v>547</v>
      </c>
      <c r="E343" s="92">
        <v>6241121</v>
      </c>
      <c r="F343" s="96">
        <v>75</v>
      </c>
      <c r="G343" s="96">
        <v>1</v>
      </c>
      <c r="J343" s="42"/>
      <c r="K343" s="37"/>
      <c r="L343" s="37"/>
      <c r="M343" s="44"/>
      <c r="N343" s="44"/>
      <c r="O343" s="44"/>
      <c r="P343" s="44"/>
      <c r="Q343" s="40"/>
    </row>
    <row r="344" spans="1:17">
      <c r="A344" s="39" t="s">
        <v>445</v>
      </c>
      <c r="B344" s="47" t="s">
        <v>548</v>
      </c>
      <c r="C344" s="39" t="s">
        <v>112</v>
      </c>
      <c r="D344" s="47" t="s">
        <v>549</v>
      </c>
      <c r="E344" s="92">
        <v>19417147</v>
      </c>
      <c r="F344" s="96">
        <v>103</v>
      </c>
      <c r="G344" s="96">
        <v>1</v>
      </c>
      <c r="J344" s="42"/>
      <c r="K344" s="37"/>
      <c r="L344" s="37"/>
      <c r="M344" s="44"/>
      <c r="N344" s="44"/>
      <c r="O344" s="44"/>
      <c r="P344" s="44"/>
      <c r="Q344" s="40"/>
    </row>
    <row r="345" spans="1:17">
      <c r="A345" s="39" t="s">
        <v>446</v>
      </c>
      <c r="B345" s="47" t="s">
        <v>548</v>
      </c>
      <c r="C345" s="39" t="s">
        <v>122</v>
      </c>
      <c r="D345" s="47" t="s">
        <v>549</v>
      </c>
      <c r="E345" s="92">
        <v>22710793</v>
      </c>
      <c r="F345" s="96">
        <v>80</v>
      </c>
      <c r="G345" s="96">
        <v>1</v>
      </c>
      <c r="J345" s="42"/>
      <c r="K345" s="37"/>
      <c r="L345" s="37"/>
      <c r="M345" s="44"/>
      <c r="N345" s="44"/>
      <c r="O345" s="44"/>
      <c r="P345" s="44"/>
      <c r="Q345" s="40"/>
    </row>
    <row r="346" spans="1:17">
      <c r="A346" s="39" t="s">
        <v>447</v>
      </c>
      <c r="B346" s="47" t="s">
        <v>550</v>
      </c>
      <c r="C346" s="39" t="s">
        <v>126</v>
      </c>
      <c r="D346" s="47" t="s">
        <v>549</v>
      </c>
      <c r="E346" s="92">
        <v>2708970</v>
      </c>
      <c r="F346" s="96">
        <v>20</v>
      </c>
      <c r="G346" s="96">
        <v>1</v>
      </c>
      <c r="J346" s="42"/>
      <c r="K346" s="37"/>
      <c r="L346" s="37"/>
      <c r="M346" s="44"/>
      <c r="N346" s="44"/>
      <c r="O346" s="44"/>
      <c r="P346" s="44"/>
      <c r="Q346" s="40"/>
    </row>
    <row r="347" spans="1:17">
      <c r="A347" s="39" t="s">
        <v>448</v>
      </c>
      <c r="B347" s="47" t="s">
        <v>550</v>
      </c>
      <c r="C347" s="39" t="s">
        <v>101</v>
      </c>
      <c r="D347" s="47" t="s">
        <v>549</v>
      </c>
      <c r="E347" s="92">
        <v>2990683</v>
      </c>
      <c r="F347" s="96">
        <v>30</v>
      </c>
      <c r="G347" s="96">
        <v>1</v>
      </c>
      <c r="J347" s="42"/>
      <c r="K347" s="37"/>
      <c r="L347" s="37"/>
      <c r="M347" s="44"/>
      <c r="N347" s="44"/>
      <c r="O347" s="44"/>
      <c r="P347" s="44"/>
      <c r="Q347" s="40"/>
    </row>
    <row r="348" spans="1:17">
      <c r="A348" s="39" t="s">
        <v>449</v>
      </c>
      <c r="B348" s="47" t="s">
        <v>550</v>
      </c>
      <c r="C348" s="39" t="s">
        <v>22</v>
      </c>
      <c r="D348" s="47" t="s">
        <v>549</v>
      </c>
      <c r="E348" s="92">
        <v>2091237</v>
      </c>
      <c r="F348" s="96">
        <v>25</v>
      </c>
      <c r="G348" s="96">
        <v>1</v>
      </c>
      <c r="J348" s="42"/>
      <c r="K348" s="37"/>
      <c r="L348" s="37"/>
      <c r="M348" s="44"/>
      <c r="N348" s="44"/>
      <c r="O348" s="44"/>
      <c r="P348" s="44"/>
      <c r="Q348" s="40"/>
    </row>
    <row r="349" spans="1:17">
      <c r="A349" s="39" t="s">
        <v>450</v>
      </c>
      <c r="B349" s="47" t="s">
        <v>548</v>
      </c>
      <c r="C349" s="39" t="s">
        <v>137</v>
      </c>
      <c r="D349" s="47" t="s">
        <v>549</v>
      </c>
      <c r="E349" s="92">
        <v>8681329</v>
      </c>
      <c r="F349" s="96">
        <v>60</v>
      </c>
      <c r="G349" s="96">
        <v>1</v>
      </c>
      <c r="J349" s="42"/>
      <c r="K349" s="37"/>
      <c r="L349" s="37"/>
      <c r="M349" s="44"/>
      <c r="N349" s="44"/>
      <c r="O349" s="44"/>
      <c r="P349" s="44"/>
      <c r="Q349" s="40"/>
    </row>
    <row r="350" spans="1:17">
      <c r="A350" s="39" t="s">
        <v>451</v>
      </c>
      <c r="B350" s="47" t="s">
        <v>548</v>
      </c>
      <c r="C350" s="39" t="s">
        <v>122</v>
      </c>
      <c r="D350" s="47" t="s">
        <v>549</v>
      </c>
      <c r="E350" s="92">
        <v>7734815</v>
      </c>
      <c r="F350" s="96">
        <v>31</v>
      </c>
      <c r="G350" s="96">
        <v>1</v>
      </c>
      <c r="J350" s="42"/>
      <c r="K350" s="37"/>
      <c r="L350" s="37"/>
      <c r="M350" s="44"/>
      <c r="N350" s="44"/>
      <c r="O350" s="44"/>
      <c r="P350" s="44"/>
      <c r="Q350" s="40"/>
    </row>
    <row r="351" spans="1:17">
      <c r="A351" s="39" t="s">
        <v>452</v>
      </c>
      <c r="B351" s="47" t="s">
        <v>548</v>
      </c>
      <c r="C351" s="39" t="s">
        <v>124</v>
      </c>
      <c r="D351" s="47" t="s">
        <v>549</v>
      </c>
      <c r="E351" s="92">
        <v>10514862</v>
      </c>
      <c r="F351" s="96">
        <v>91</v>
      </c>
      <c r="G351" s="96">
        <v>1</v>
      </c>
      <c r="J351" s="42"/>
      <c r="K351" s="37"/>
      <c r="L351" s="37"/>
      <c r="M351" s="44"/>
      <c r="N351" s="44"/>
      <c r="O351" s="44"/>
      <c r="P351" s="44"/>
      <c r="Q351" s="40"/>
    </row>
    <row r="352" spans="1:17">
      <c r="A352" s="39" t="s">
        <v>453</v>
      </c>
      <c r="B352" s="47" t="s">
        <v>548</v>
      </c>
      <c r="C352" s="39" t="s">
        <v>32</v>
      </c>
      <c r="D352" s="47" t="s">
        <v>547</v>
      </c>
      <c r="E352" s="92">
        <v>4659406</v>
      </c>
      <c r="F352" s="96">
        <v>80</v>
      </c>
      <c r="G352" s="96">
        <v>1</v>
      </c>
      <c r="J352" s="42"/>
      <c r="K352" s="37"/>
      <c r="L352" s="37"/>
      <c r="M352" s="44"/>
      <c r="N352" s="44"/>
      <c r="O352" s="44"/>
      <c r="P352" s="44"/>
      <c r="Q352" s="40"/>
    </row>
    <row r="353" spans="1:17">
      <c r="A353" s="39" t="s">
        <v>454</v>
      </c>
      <c r="B353" s="47" t="s">
        <v>550</v>
      </c>
      <c r="C353" s="39" t="s">
        <v>26</v>
      </c>
      <c r="D353" s="47" t="s">
        <v>549</v>
      </c>
      <c r="E353" s="92">
        <v>1774884</v>
      </c>
      <c r="F353" s="96">
        <v>25</v>
      </c>
      <c r="G353" s="96">
        <v>1</v>
      </c>
      <c r="J353" s="42"/>
      <c r="K353" s="37"/>
      <c r="L353" s="37"/>
      <c r="M353" s="44"/>
      <c r="N353" s="44"/>
      <c r="O353" s="44"/>
      <c r="P353" s="44"/>
      <c r="Q353" s="40"/>
    </row>
    <row r="354" spans="1:17">
      <c r="A354" s="39" t="s">
        <v>455</v>
      </c>
      <c r="B354" s="47" t="s">
        <v>548</v>
      </c>
      <c r="C354" s="39" t="s">
        <v>140</v>
      </c>
      <c r="D354" s="47" t="s">
        <v>549</v>
      </c>
      <c r="E354" s="92">
        <v>3246319</v>
      </c>
      <c r="F354" s="96">
        <v>30</v>
      </c>
      <c r="G354" s="96">
        <v>1</v>
      </c>
      <c r="J354" s="42"/>
      <c r="K354" s="37"/>
      <c r="L354" s="37"/>
      <c r="M354" s="44"/>
      <c r="N354" s="44"/>
      <c r="O354" s="44"/>
      <c r="P354" s="44"/>
      <c r="Q354" s="40"/>
    </row>
    <row r="355" spans="1:17">
      <c r="A355" s="39" t="s">
        <v>639</v>
      </c>
      <c r="B355" s="47" t="s">
        <v>548</v>
      </c>
      <c r="C355" s="39" t="s">
        <v>140</v>
      </c>
      <c r="D355" s="47" t="s">
        <v>547</v>
      </c>
      <c r="E355" s="92">
        <v>5131184</v>
      </c>
      <c r="F355" s="96">
        <v>60</v>
      </c>
      <c r="G355" s="96">
        <v>1</v>
      </c>
      <c r="J355" s="42"/>
      <c r="K355" s="37"/>
      <c r="L355" s="37"/>
      <c r="M355" s="44"/>
      <c r="N355" s="44"/>
      <c r="O355" s="44"/>
      <c r="P355" s="44"/>
      <c r="Q355" s="40"/>
    </row>
    <row r="356" spans="1:17">
      <c r="A356" s="39" t="s">
        <v>456</v>
      </c>
      <c r="B356" s="47" t="s">
        <v>550</v>
      </c>
      <c r="C356" s="39" t="s">
        <v>151</v>
      </c>
      <c r="D356" s="47" t="s">
        <v>547</v>
      </c>
      <c r="E356" s="92">
        <v>7551981</v>
      </c>
      <c r="F356" s="96">
        <v>80</v>
      </c>
      <c r="G356" s="96">
        <v>1</v>
      </c>
      <c r="J356" s="42"/>
      <c r="K356" s="37"/>
      <c r="L356" s="37"/>
      <c r="M356" s="44"/>
      <c r="N356" s="44"/>
      <c r="O356" s="44"/>
      <c r="P356" s="44"/>
      <c r="Q356" s="40"/>
    </row>
    <row r="357" spans="1:17">
      <c r="A357" s="39" t="s">
        <v>457</v>
      </c>
      <c r="B357" s="47" t="s">
        <v>548</v>
      </c>
      <c r="C357" s="39" t="s">
        <v>154</v>
      </c>
      <c r="D357" s="47" t="s">
        <v>549</v>
      </c>
      <c r="E357" s="92">
        <v>11009782</v>
      </c>
      <c r="F357" s="96">
        <v>70</v>
      </c>
      <c r="G357" s="96">
        <v>1</v>
      </c>
      <c r="J357" s="42"/>
      <c r="K357" s="37"/>
      <c r="L357" s="37"/>
      <c r="M357" s="44"/>
      <c r="N357" s="44"/>
      <c r="O357" s="44"/>
      <c r="P357" s="44"/>
      <c r="Q357" s="40"/>
    </row>
    <row r="358" spans="1:17">
      <c r="A358" s="39" t="s">
        <v>458</v>
      </c>
      <c r="B358" s="47" t="s">
        <v>548</v>
      </c>
      <c r="C358" s="39" t="s">
        <v>124</v>
      </c>
      <c r="D358" s="47" t="s">
        <v>549</v>
      </c>
      <c r="E358" s="92">
        <v>11878409</v>
      </c>
      <c r="F358" s="96">
        <v>82</v>
      </c>
      <c r="G358" s="96">
        <v>1</v>
      </c>
      <c r="J358" s="42"/>
      <c r="K358" s="37"/>
      <c r="L358" s="37"/>
      <c r="M358" s="44"/>
      <c r="N358" s="44"/>
      <c r="O358" s="44"/>
      <c r="P358" s="44"/>
      <c r="Q358" s="40"/>
    </row>
    <row r="359" spans="1:17">
      <c r="A359" s="39" t="s">
        <v>459</v>
      </c>
      <c r="B359" s="47" t="s">
        <v>548</v>
      </c>
      <c r="C359" s="39" t="s">
        <v>116</v>
      </c>
      <c r="D359" s="47" t="s">
        <v>549</v>
      </c>
      <c r="E359" s="92">
        <v>15504337</v>
      </c>
      <c r="F359" s="96">
        <v>76</v>
      </c>
      <c r="G359" s="96">
        <v>1</v>
      </c>
      <c r="J359" s="42"/>
      <c r="K359" s="37"/>
      <c r="L359" s="37"/>
      <c r="M359" s="44"/>
      <c r="N359" s="44"/>
      <c r="O359" s="44"/>
      <c r="P359" s="44"/>
      <c r="Q359" s="40"/>
    </row>
    <row r="360" spans="1:17">
      <c r="A360" s="39" t="s">
        <v>460</v>
      </c>
      <c r="B360" s="47" t="s">
        <v>548</v>
      </c>
      <c r="C360" s="39" t="s">
        <v>100</v>
      </c>
      <c r="D360" s="47" t="s">
        <v>549</v>
      </c>
      <c r="E360" s="92">
        <v>4830658</v>
      </c>
      <c r="F360" s="96">
        <v>40</v>
      </c>
      <c r="G360" s="96">
        <v>1</v>
      </c>
      <c r="J360" s="42"/>
      <c r="K360" s="37"/>
      <c r="L360" s="37"/>
      <c r="M360" s="44"/>
      <c r="N360" s="44"/>
      <c r="O360" s="44"/>
      <c r="P360" s="44"/>
      <c r="Q360" s="40"/>
    </row>
    <row r="361" spans="1:17">
      <c r="A361" s="39" t="s">
        <v>461</v>
      </c>
      <c r="B361" s="47" t="s">
        <v>548</v>
      </c>
      <c r="C361" s="39" t="s">
        <v>111</v>
      </c>
      <c r="D361" s="47" t="s">
        <v>549</v>
      </c>
      <c r="E361" s="92">
        <v>11856832</v>
      </c>
      <c r="F361" s="96">
        <v>65</v>
      </c>
      <c r="G361" s="96">
        <v>1</v>
      </c>
      <c r="J361" s="42"/>
      <c r="K361" s="37"/>
      <c r="L361" s="37"/>
      <c r="M361" s="44"/>
      <c r="N361" s="44"/>
      <c r="O361" s="44"/>
      <c r="P361" s="44"/>
      <c r="Q361" s="40"/>
    </row>
    <row r="362" spans="1:17">
      <c r="A362" s="39" t="s">
        <v>640</v>
      </c>
      <c r="B362" s="47" t="s">
        <v>548</v>
      </c>
      <c r="C362" s="39" t="s">
        <v>111</v>
      </c>
      <c r="D362" s="47" t="s">
        <v>547</v>
      </c>
      <c r="E362" s="92">
        <v>2094695</v>
      </c>
      <c r="F362" s="96">
        <v>25</v>
      </c>
      <c r="G362" s="96">
        <v>1</v>
      </c>
      <c r="J362" s="42"/>
      <c r="K362" s="37"/>
      <c r="L362" s="37"/>
      <c r="M362" s="44"/>
      <c r="N362" s="44"/>
      <c r="O362" s="44"/>
      <c r="P362" s="44"/>
      <c r="Q362" s="40"/>
    </row>
    <row r="363" spans="1:17">
      <c r="A363" s="39" t="s">
        <v>462</v>
      </c>
      <c r="B363" s="47" t="s">
        <v>548</v>
      </c>
      <c r="C363" s="39" t="s">
        <v>111</v>
      </c>
      <c r="D363" s="47" t="s">
        <v>549</v>
      </c>
      <c r="E363" s="92">
        <v>16597473</v>
      </c>
      <c r="F363" s="96">
        <v>94</v>
      </c>
      <c r="G363" s="96">
        <v>1</v>
      </c>
      <c r="J363" s="42"/>
      <c r="K363" s="37"/>
      <c r="L363" s="37"/>
      <c r="M363" s="44"/>
      <c r="N363" s="44"/>
      <c r="O363" s="44"/>
      <c r="P363" s="44"/>
      <c r="Q363" s="40"/>
    </row>
    <row r="364" spans="1:17">
      <c r="A364" s="39" t="s">
        <v>463</v>
      </c>
      <c r="B364" s="47" t="s">
        <v>548</v>
      </c>
      <c r="C364" s="39" t="s">
        <v>120</v>
      </c>
      <c r="D364" s="47" t="s">
        <v>547</v>
      </c>
      <c r="E364" s="92">
        <v>7188441</v>
      </c>
      <c r="F364" s="96">
        <v>66</v>
      </c>
      <c r="G364" s="96">
        <v>1</v>
      </c>
      <c r="J364" s="42"/>
      <c r="K364" s="37"/>
      <c r="L364" s="37"/>
      <c r="M364" s="44"/>
      <c r="N364" s="44"/>
      <c r="O364" s="44"/>
      <c r="P364" s="44"/>
      <c r="Q364" s="40"/>
    </row>
    <row r="365" spans="1:17">
      <c r="A365" s="39" t="s">
        <v>464</v>
      </c>
      <c r="B365" s="47" t="s">
        <v>550</v>
      </c>
      <c r="C365" s="39" t="s">
        <v>96</v>
      </c>
      <c r="D365" s="47" t="s">
        <v>547</v>
      </c>
      <c r="E365" s="92">
        <v>5036044</v>
      </c>
      <c r="F365" s="96">
        <v>50</v>
      </c>
      <c r="G365" s="96">
        <v>1</v>
      </c>
      <c r="J365" s="42"/>
      <c r="K365" s="37"/>
      <c r="L365" s="37"/>
      <c r="M365" s="44"/>
      <c r="N365" s="44"/>
      <c r="O365" s="44"/>
      <c r="P365" s="44"/>
      <c r="Q365" s="40"/>
    </row>
    <row r="366" spans="1:17">
      <c r="A366" s="39" t="s">
        <v>465</v>
      </c>
      <c r="B366" s="47" t="s">
        <v>550</v>
      </c>
      <c r="C366" s="39" t="s">
        <v>135</v>
      </c>
      <c r="D366" s="47" t="s">
        <v>547</v>
      </c>
      <c r="E366" s="92">
        <v>3424084</v>
      </c>
      <c r="F366" s="96">
        <v>50</v>
      </c>
      <c r="G366" s="96">
        <v>1</v>
      </c>
      <c r="J366" s="42"/>
      <c r="K366" s="37"/>
      <c r="L366" s="37"/>
      <c r="M366" s="44"/>
      <c r="N366" s="44"/>
      <c r="O366" s="44"/>
      <c r="P366" s="44"/>
      <c r="Q366" s="40"/>
    </row>
    <row r="367" spans="1:17">
      <c r="A367" s="39" t="s">
        <v>466</v>
      </c>
      <c r="B367" s="47" t="s">
        <v>550</v>
      </c>
      <c r="C367" s="39" t="s">
        <v>115</v>
      </c>
      <c r="D367" s="47" t="s">
        <v>549</v>
      </c>
      <c r="E367" s="92">
        <v>4827750</v>
      </c>
      <c r="F367" s="96">
        <v>65</v>
      </c>
      <c r="G367" s="96">
        <v>1</v>
      </c>
      <c r="J367" s="42"/>
      <c r="K367" s="37"/>
      <c r="L367" s="37"/>
      <c r="M367" s="44"/>
      <c r="N367" s="44"/>
      <c r="O367" s="44"/>
      <c r="P367" s="44"/>
      <c r="Q367" s="40"/>
    </row>
    <row r="368" spans="1:17">
      <c r="A368" s="39" t="s">
        <v>467</v>
      </c>
      <c r="B368" s="47" t="s">
        <v>548</v>
      </c>
      <c r="C368" s="39" t="s">
        <v>132</v>
      </c>
      <c r="D368" s="47" t="s">
        <v>549</v>
      </c>
      <c r="E368" s="92">
        <v>4269527</v>
      </c>
      <c r="F368" s="96">
        <v>48</v>
      </c>
      <c r="G368" s="96">
        <v>1</v>
      </c>
      <c r="J368" s="42"/>
      <c r="K368" s="37"/>
      <c r="L368" s="37"/>
      <c r="M368" s="44"/>
      <c r="N368" s="44"/>
      <c r="O368" s="44"/>
      <c r="P368" s="44"/>
      <c r="Q368" s="40"/>
    </row>
    <row r="369" spans="1:17">
      <c r="A369" s="39" t="s">
        <v>468</v>
      </c>
      <c r="B369" s="47" t="s">
        <v>550</v>
      </c>
      <c r="C369" s="39" t="s">
        <v>117</v>
      </c>
      <c r="D369" s="47" t="s">
        <v>547</v>
      </c>
      <c r="E369" s="92">
        <v>7957432</v>
      </c>
      <c r="F369" s="96">
        <v>77</v>
      </c>
      <c r="G369" s="96">
        <v>1</v>
      </c>
      <c r="J369" s="42"/>
      <c r="K369" s="37"/>
      <c r="L369" s="37"/>
      <c r="M369" s="44"/>
      <c r="N369" s="44"/>
      <c r="O369" s="44"/>
      <c r="P369" s="44"/>
      <c r="Q369" s="40"/>
    </row>
    <row r="370" spans="1:17">
      <c r="A370" s="39" t="s">
        <v>469</v>
      </c>
      <c r="B370" s="47" t="s">
        <v>550</v>
      </c>
      <c r="C370" s="39" t="s">
        <v>118</v>
      </c>
      <c r="D370" s="47" t="s">
        <v>547</v>
      </c>
      <c r="E370" s="92">
        <v>7148511</v>
      </c>
      <c r="F370" s="96">
        <v>56</v>
      </c>
      <c r="G370" s="96">
        <v>1</v>
      </c>
      <c r="J370" s="42"/>
      <c r="K370" s="37"/>
      <c r="L370" s="37"/>
      <c r="M370" s="44"/>
      <c r="N370" s="44"/>
      <c r="O370" s="44"/>
      <c r="P370" s="44"/>
      <c r="Q370" s="40"/>
    </row>
    <row r="371" spans="1:17">
      <c r="A371" s="39" t="s">
        <v>641</v>
      </c>
      <c r="B371" s="47" t="s">
        <v>550</v>
      </c>
      <c r="C371" s="39" t="s">
        <v>118</v>
      </c>
      <c r="D371" s="47" t="s">
        <v>547</v>
      </c>
      <c r="E371" s="92">
        <v>8877933</v>
      </c>
      <c r="F371" s="96">
        <v>80</v>
      </c>
      <c r="G371" s="96">
        <v>1</v>
      </c>
      <c r="J371" s="42"/>
      <c r="K371" s="37"/>
      <c r="L371" s="37"/>
      <c r="M371" s="44"/>
      <c r="N371" s="44"/>
      <c r="O371" s="44"/>
      <c r="P371" s="44"/>
      <c r="Q371" s="40"/>
    </row>
    <row r="372" spans="1:17">
      <c r="A372" s="39" t="s">
        <v>470</v>
      </c>
      <c r="B372" s="47" t="s">
        <v>550</v>
      </c>
      <c r="C372" s="39" t="s">
        <v>118</v>
      </c>
      <c r="D372" s="47" t="s">
        <v>549</v>
      </c>
      <c r="E372" s="92">
        <v>6595067</v>
      </c>
      <c r="F372" s="96">
        <v>43</v>
      </c>
      <c r="G372" s="96">
        <v>1</v>
      </c>
      <c r="J372" s="42"/>
      <c r="K372" s="37"/>
      <c r="L372" s="37"/>
      <c r="M372" s="44"/>
      <c r="N372" s="44"/>
      <c r="O372" s="44"/>
      <c r="P372" s="44"/>
      <c r="Q372" s="40"/>
    </row>
    <row r="373" spans="1:17">
      <c r="A373" s="39" t="s">
        <v>471</v>
      </c>
      <c r="B373" s="47" t="s">
        <v>548</v>
      </c>
      <c r="C373" s="39" t="s">
        <v>129</v>
      </c>
      <c r="D373" s="47" t="s">
        <v>549</v>
      </c>
      <c r="E373" s="92">
        <v>18366273</v>
      </c>
      <c r="F373" s="96">
        <v>87</v>
      </c>
      <c r="G373" s="96">
        <v>1</v>
      </c>
      <c r="J373" s="42"/>
      <c r="K373" s="37"/>
      <c r="L373" s="37"/>
      <c r="M373" s="44"/>
      <c r="N373" s="44"/>
      <c r="O373" s="44"/>
      <c r="P373" s="44"/>
      <c r="Q373" s="40"/>
    </row>
    <row r="374" spans="1:17">
      <c r="A374" s="39" t="s">
        <v>472</v>
      </c>
      <c r="B374" s="47" t="s">
        <v>548</v>
      </c>
      <c r="C374" s="39" t="s">
        <v>97</v>
      </c>
      <c r="D374" s="47" t="s">
        <v>549</v>
      </c>
      <c r="E374" s="92">
        <v>7723349</v>
      </c>
      <c r="F374" s="96">
        <v>65</v>
      </c>
      <c r="G374" s="96">
        <v>1</v>
      </c>
      <c r="J374" s="42"/>
      <c r="K374" s="37"/>
      <c r="L374" s="37"/>
      <c r="M374" s="44"/>
      <c r="N374" s="44"/>
      <c r="O374" s="44"/>
      <c r="P374" s="44"/>
      <c r="Q374" s="40"/>
    </row>
    <row r="375" spans="1:17">
      <c r="A375" s="39" t="s">
        <v>473</v>
      </c>
      <c r="B375" s="47" t="s">
        <v>548</v>
      </c>
      <c r="C375" s="39" t="s">
        <v>137</v>
      </c>
      <c r="D375" s="47" t="s">
        <v>549</v>
      </c>
      <c r="E375" s="92">
        <v>25560130</v>
      </c>
      <c r="F375" s="96">
        <v>96</v>
      </c>
      <c r="G375" s="96">
        <v>1</v>
      </c>
      <c r="J375" s="42"/>
      <c r="K375" s="37"/>
      <c r="L375" s="37"/>
      <c r="M375" s="44"/>
      <c r="N375" s="44"/>
      <c r="O375" s="44"/>
      <c r="P375" s="44"/>
      <c r="Q375" s="40"/>
    </row>
    <row r="376" spans="1:17">
      <c r="A376" s="39" t="s">
        <v>474</v>
      </c>
      <c r="B376" s="47" t="s">
        <v>548</v>
      </c>
      <c r="C376" s="39" t="s">
        <v>140</v>
      </c>
      <c r="D376" s="47" t="s">
        <v>549</v>
      </c>
      <c r="E376" s="92">
        <v>5513852</v>
      </c>
      <c r="F376" s="96">
        <v>39</v>
      </c>
      <c r="G376" s="96">
        <v>1</v>
      </c>
      <c r="J376" s="42"/>
      <c r="K376" s="37"/>
      <c r="L376" s="37"/>
      <c r="M376" s="44"/>
      <c r="N376" s="44"/>
      <c r="O376" s="44"/>
      <c r="P376" s="44"/>
      <c r="Q376" s="40"/>
    </row>
    <row r="377" spans="1:17">
      <c r="A377" s="39" t="s">
        <v>475</v>
      </c>
      <c r="B377" s="47" t="s">
        <v>548</v>
      </c>
      <c r="C377" s="39" t="s">
        <v>112</v>
      </c>
      <c r="D377" s="47" t="s">
        <v>547</v>
      </c>
      <c r="E377" s="92" t="s">
        <v>656</v>
      </c>
      <c r="F377" s="96">
        <v>0</v>
      </c>
      <c r="G377" s="96">
        <v>1</v>
      </c>
      <c r="J377" s="42"/>
      <c r="K377" s="37"/>
      <c r="L377" s="37"/>
      <c r="M377" s="44"/>
      <c r="N377" s="44"/>
      <c r="O377" s="44"/>
      <c r="P377" s="44"/>
      <c r="Q377" s="40"/>
    </row>
    <row r="378" spans="1:17">
      <c r="A378" s="39" t="s">
        <v>476</v>
      </c>
      <c r="B378" s="47" t="s">
        <v>550</v>
      </c>
      <c r="C378" s="39" t="s">
        <v>117</v>
      </c>
      <c r="D378" s="47" t="s">
        <v>549</v>
      </c>
      <c r="E378" s="92">
        <v>10565201</v>
      </c>
      <c r="F378" s="96">
        <v>67</v>
      </c>
      <c r="G378" s="96">
        <v>1</v>
      </c>
      <c r="J378" s="42"/>
      <c r="K378" s="37"/>
      <c r="L378" s="37"/>
      <c r="M378" s="44"/>
      <c r="N378" s="44"/>
      <c r="O378" s="44"/>
      <c r="P378" s="44"/>
      <c r="Q378" s="40"/>
    </row>
    <row r="379" spans="1:17">
      <c r="A379" s="39" t="s">
        <v>477</v>
      </c>
      <c r="B379" s="47" t="s">
        <v>550</v>
      </c>
      <c r="C379" s="39" t="s">
        <v>151</v>
      </c>
      <c r="D379" s="47" t="s">
        <v>547</v>
      </c>
      <c r="E379" s="92">
        <v>7409444</v>
      </c>
      <c r="F379" s="96">
        <v>74</v>
      </c>
      <c r="G379" s="96">
        <v>1</v>
      </c>
      <c r="J379" s="42"/>
      <c r="K379" s="37"/>
      <c r="L379" s="37"/>
      <c r="M379" s="44"/>
      <c r="N379" s="44"/>
      <c r="O379" s="44"/>
      <c r="P379" s="44"/>
      <c r="Q379" s="40"/>
    </row>
    <row r="380" spans="1:17">
      <c r="A380" s="39" t="s">
        <v>552</v>
      </c>
      <c r="B380" s="47" t="s">
        <v>550</v>
      </c>
      <c r="C380" s="39" t="s">
        <v>96</v>
      </c>
      <c r="D380" s="47" t="s">
        <v>547</v>
      </c>
      <c r="E380" s="92">
        <v>2468712</v>
      </c>
      <c r="F380" s="96">
        <v>35</v>
      </c>
      <c r="G380" s="96">
        <v>1</v>
      </c>
      <c r="J380" s="42"/>
      <c r="K380" s="37"/>
      <c r="L380" s="37"/>
      <c r="M380" s="44"/>
      <c r="N380" s="44"/>
      <c r="O380" s="44"/>
      <c r="P380" s="44"/>
      <c r="Q380" s="40"/>
    </row>
    <row r="381" spans="1:17">
      <c r="A381" s="39" t="s">
        <v>642</v>
      </c>
      <c r="B381" s="47" t="s">
        <v>548</v>
      </c>
      <c r="C381" s="39" t="s">
        <v>116</v>
      </c>
      <c r="D381" s="47" t="s">
        <v>547</v>
      </c>
      <c r="E381" s="92">
        <v>7895165</v>
      </c>
      <c r="F381" s="96">
        <v>55</v>
      </c>
      <c r="G381" s="96">
        <v>1</v>
      </c>
      <c r="J381" s="42"/>
      <c r="K381" s="37"/>
      <c r="L381" s="37"/>
      <c r="M381" s="44"/>
      <c r="N381" s="44"/>
      <c r="O381" s="44"/>
      <c r="P381" s="44"/>
      <c r="Q381" s="40"/>
    </row>
    <row r="382" spans="1:17">
      <c r="A382" s="39" t="s">
        <v>478</v>
      </c>
      <c r="B382" s="47" t="s">
        <v>548</v>
      </c>
      <c r="C382" s="39" t="s">
        <v>103</v>
      </c>
      <c r="D382" s="47" t="s">
        <v>549</v>
      </c>
      <c r="E382" s="92">
        <v>12362573</v>
      </c>
      <c r="F382" s="96">
        <v>50</v>
      </c>
      <c r="G382" s="96">
        <v>1</v>
      </c>
      <c r="J382" s="42"/>
      <c r="K382" s="37"/>
      <c r="L382" s="37"/>
      <c r="M382" s="44"/>
      <c r="N382" s="44"/>
      <c r="O382" s="44"/>
      <c r="P382" s="44"/>
      <c r="Q382" s="40"/>
    </row>
    <row r="383" spans="1:17">
      <c r="A383" s="39" t="s">
        <v>479</v>
      </c>
      <c r="B383" s="47" t="s">
        <v>548</v>
      </c>
      <c r="C383" s="39" t="s">
        <v>103</v>
      </c>
      <c r="D383" s="47" t="s">
        <v>547</v>
      </c>
      <c r="E383" s="92">
        <v>4894620</v>
      </c>
      <c r="F383" s="96">
        <v>35</v>
      </c>
      <c r="G383" s="96">
        <v>1</v>
      </c>
      <c r="J383" s="42"/>
      <c r="K383" s="37"/>
      <c r="L383" s="37"/>
      <c r="M383" s="44"/>
      <c r="N383" s="44"/>
      <c r="O383" s="44"/>
      <c r="P383" s="44"/>
      <c r="Q383" s="40"/>
    </row>
    <row r="384" spans="1:17">
      <c r="A384" s="39" t="s">
        <v>480</v>
      </c>
      <c r="B384" s="47" t="s">
        <v>550</v>
      </c>
      <c r="C384" s="39" t="s">
        <v>143</v>
      </c>
      <c r="D384" s="47" t="s">
        <v>547</v>
      </c>
      <c r="E384" s="92">
        <v>1684337</v>
      </c>
      <c r="F384" s="96">
        <v>35</v>
      </c>
      <c r="G384" s="96">
        <v>1</v>
      </c>
      <c r="J384" s="42"/>
      <c r="K384" s="37"/>
      <c r="L384" s="37"/>
      <c r="M384" s="44"/>
      <c r="N384" s="44"/>
      <c r="O384" s="44"/>
      <c r="P384" s="44"/>
      <c r="Q384" s="40"/>
    </row>
    <row r="385" spans="1:17">
      <c r="A385" s="39" t="s">
        <v>481</v>
      </c>
      <c r="B385" s="47" t="s">
        <v>550</v>
      </c>
      <c r="C385" s="39" t="s">
        <v>117</v>
      </c>
      <c r="D385" s="47" t="s">
        <v>547</v>
      </c>
      <c r="E385" s="92">
        <v>3149077</v>
      </c>
      <c r="F385" s="96">
        <v>35</v>
      </c>
      <c r="G385" s="96">
        <v>1</v>
      </c>
      <c r="J385" s="42"/>
      <c r="K385" s="37"/>
      <c r="L385" s="37"/>
      <c r="M385" s="44"/>
      <c r="N385" s="44"/>
      <c r="O385" s="44"/>
      <c r="P385" s="44"/>
      <c r="Q385" s="40"/>
    </row>
    <row r="386" spans="1:17">
      <c r="A386" s="39" t="s">
        <v>482</v>
      </c>
      <c r="B386" s="47" t="s">
        <v>548</v>
      </c>
      <c r="C386" s="39" t="s">
        <v>144</v>
      </c>
      <c r="D386" s="47" t="s">
        <v>547</v>
      </c>
      <c r="E386" s="92">
        <v>3081827</v>
      </c>
      <c r="F386" s="96">
        <v>53</v>
      </c>
      <c r="G386" s="96">
        <v>1</v>
      </c>
      <c r="J386" s="42"/>
      <c r="K386" s="37"/>
      <c r="L386" s="37"/>
      <c r="M386" s="44"/>
      <c r="N386" s="44"/>
      <c r="O386" s="44"/>
      <c r="P386" s="44"/>
      <c r="Q386" s="40"/>
    </row>
    <row r="387" spans="1:17">
      <c r="A387" s="39" t="s">
        <v>483</v>
      </c>
      <c r="B387" s="47" t="s">
        <v>548</v>
      </c>
      <c r="C387" s="39" t="s">
        <v>124</v>
      </c>
      <c r="D387" s="47" t="s">
        <v>547</v>
      </c>
      <c r="E387" s="92">
        <v>1803960</v>
      </c>
      <c r="F387" s="96">
        <v>83</v>
      </c>
      <c r="G387" s="96">
        <v>1</v>
      </c>
      <c r="J387" s="42"/>
      <c r="K387" s="37"/>
      <c r="L387" s="37"/>
      <c r="M387" s="44"/>
      <c r="N387" s="44"/>
      <c r="O387" s="44"/>
      <c r="P387" s="44"/>
      <c r="Q387" s="40"/>
    </row>
    <row r="388" spans="1:17">
      <c r="A388" s="39" t="s">
        <v>484</v>
      </c>
      <c r="B388" s="47" t="s">
        <v>548</v>
      </c>
      <c r="C388" s="39" t="s">
        <v>125</v>
      </c>
      <c r="D388" s="47" t="s">
        <v>549</v>
      </c>
      <c r="E388" s="92">
        <v>14500271</v>
      </c>
      <c r="F388" s="96">
        <v>85</v>
      </c>
      <c r="G388" s="96">
        <v>1</v>
      </c>
      <c r="J388" s="42"/>
      <c r="K388" s="37"/>
      <c r="L388" s="37"/>
      <c r="M388" s="44"/>
      <c r="N388" s="44"/>
      <c r="O388" s="44"/>
      <c r="P388" s="44"/>
      <c r="Q388" s="40"/>
    </row>
    <row r="389" spans="1:17">
      <c r="A389" s="39" t="s">
        <v>485</v>
      </c>
      <c r="B389" s="47" t="s">
        <v>550</v>
      </c>
      <c r="C389" s="39" t="s">
        <v>151</v>
      </c>
      <c r="D389" s="47" t="s">
        <v>549</v>
      </c>
      <c r="E389" s="92">
        <v>2518214</v>
      </c>
      <c r="F389" s="96">
        <v>23</v>
      </c>
      <c r="G389" s="96">
        <v>1</v>
      </c>
      <c r="J389" s="42"/>
      <c r="K389" s="37"/>
      <c r="L389" s="37"/>
      <c r="M389" s="44"/>
      <c r="N389" s="44"/>
      <c r="O389" s="44"/>
      <c r="P389" s="44"/>
      <c r="Q389" s="40"/>
    </row>
    <row r="390" spans="1:17">
      <c r="A390" s="39" t="s">
        <v>560</v>
      </c>
      <c r="B390" s="47" t="s">
        <v>550</v>
      </c>
      <c r="C390" s="39" t="s">
        <v>95</v>
      </c>
      <c r="D390" s="47" t="s">
        <v>549</v>
      </c>
      <c r="E390" s="92">
        <v>1645732</v>
      </c>
      <c r="F390" s="96">
        <v>18</v>
      </c>
      <c r="G390" s="96">
        <v>1</v>
      </c>
      <c r="J390" s="42"/>
      <c r="K390" s="37"/>
      <c r="L390" s="37"/>
      <c r="M390" s="44"/>
      <c r="N390" s="44"/>
      <c r="O390" s="44"/>
      <c r="P390" s="44"/>
      <c r="Q390" s="40"/>
    </row>
    <row r="391" spans="1:17">
      <c r="A391" s="39" t="s">
        <v>486</v>
      </c>
      <c r="B391" s="47" t="s">
        <v>550</v>
      </c>
      <c r="C391" s="39" t="s">
        <v>143</v>
      </c>
      <c r="D391" s="47" t="s">
        <v>547</v>
      </c>
      <c r="E391" s="92">
        <v>3163833</v>
      </c>
      <c r="F391" s="96">
        <v>45</v>
      </c>
      <c r="G391" s="96">
        <v>1</v>
      </c>
      <c r="J391" s="42"/>
      <c r="K391" s="37"/>
      <c r="L391" s="37"/>
      <c r="M391" s="44"/>
      <c r="N391" s="44"/>
      <c r="O391" s="44"/>
      <c r="P391" s="44"/>
      <c r="Q391" s="40"/>
    </row>
    <row r="392" spans="1:17">
      <c r="A392" s="39" t="s">
        <v>487</v>
      </c>
      <c r="B392" s="47" t="s">
        <v>548</v>
      </c>
      <c r="C392" s="39" t="s">
        <v>140</v>
      </c>
      <c r="D392" s="47" t="s">
        <v>547</v>
      </c>
      <c r="E392" s="92">
        <v>10581639</v>
      </c>
      <c r="F392" s="96">
        <v>85</v>
      </c>
      <c r="G392" s="96">
        <v>1</v>
      </c>
      <c r="J392" s="42"/>
      <c r="K392" s="37"/>
      <c r="L392" s="37"/>
      <c r="M392" s="44"/>
      <c r="N392" s="44"/>
      <c r="O392" s="44"/>
      <c r="P392" s="44"/>
      <c r="Q392" s="40"/>
    </row>
    <row r="393" spans="1:17">
      <c r="A393" s="39" t="s">
        <v>488</v>
      </c>
      <c r="B393" s="47" t="s">
        <v>550</v>
      </c>
      <c r="C393" s="39" t="s">
        <v>138</v>
      </c>
      <c r="D393" s="47" t="s">
        <v>547</v>
      </c>
      <c r="E393" s="92">
        <v>4234696</v>
      </c>
      <c r="F393" s="96">
        <v>40</v>
      </c>
      <c r="G393" s="96">
        <v>1</v>
      </c>
      <c r="J393" s="42"/>
      <c r="K393" s="37"/>
      <c r="L393" s="37"/>
      <c r="M393" s="44"/>
      <c r="N393" s="44"/>
      <c r="O393" s="44"/>
      <c r="P393" s="44"/>
      <c r="Q393" s="40"/>
    </row>
    <row r="394" spans="1:17">
      <c r="A394" s="39" t="s">
        <v>489</v>
      </c>
      <c r="B394" s="47" t="s">
        <v>548</v>
      </c>
      <c r="C394" s="39" t="s">
        <v>133</v>
      </c>
      <c r="D394" s="47" t="s">
        <v>549</v>
      </c>
      <c r="E394" s="92">
        <v>13971247</v>
      </c>
      <c r="F394" s="96">
        <v>70</v>
      </c>
      <c r="G394" s="96">
        <v>1</v>
      </c>
      <c r="J394" s="42"/>
      <c r="K394" s="37"/>
      <c r="L394" s="37"/>
      <c r="M394" s="44"/>
      <c r="N394" s="44"/>
      <c r="O394" s="44"/>
      <c r="P394" s="44"/>
      <c r="Q394" s="40"/>
    </row>
    <row r="395" spans="1:17">
      <c r="A395" s="39" t="s">
        <v>490</v>
      </c>
      <c r="B395" s="47" t="s">
        <v>548</v>
      </c>
      <c r="C395" s="39" t="s">
        <v>109</v>
      </c>
      <c r="D395" s="47" t="s">
        <v>549</v>
      </c>
      <c r="E395" s="92">
        <v>15651839</v>
      </c>
      <c r="F395" s="96">
        <v>88</v>
      </c>
      <c r="G395" s="96">
        <v>1</v>
      </c>
      <c r="J395" s="42"/>
      <c r="K395" s="37"/>
      <c r="L395" s="37"/>
      <c r="M395" s="44"/>
      <c r="N395" s="44"/>
      <c r="O395" s="44"/>
      <c r="P395" s="44"/>
      <c r="Q395" s="40"/>
    </row>
    <row r="396" spans="1:17">
      <c r="A396" s="39" t="s">
        <v>491</v>
      </c>
      <c r="B396" s="47" t="s">
        <v>548</v>
      </c>
      <c r="C396" s="39" t="s">
        <v>122</v>
      </c>
      <c r="D396" s="47" t="s">
        <v>547</v>
      </c>
      <c r="E396" s="92">
        <v>4536667</v>
      </c>
      <c r="F396" s="96">
        <v>78</v>
      </c>
      <c r="G396" s="96">
        <v>1</v>
      </c>
      <c r="J396" s="42"/>
      <c r="K396" s="37"/>
      <c r="L396" s="37"/>
      <c r="M396" s="44"/>
      <c r="N396" s="44"/>
      <c r="O396" s="44"/>
      <c r="P396" s="44"/>
      <c r="Q396" s="40"/>
    </row>
    <row r="397" spans="1:17">
      <c r="A397" s="39" t="s">
        <v>643</v>
      </c>
      <c r="B397" s="47" t="s">
        <v>548</v>
      </c>
      <c r="C397" s="39" t="s">
        <v>122</v>
      </c>
      <c r="D397" s="47" t="s">
        <v>547</v>
      </c>
      <c r="E397" s="92">
        <v>1158935</v>
      </c>
      <c r="F397" s="96">
        <v>38</v>
      </c>
      <c r="G397" s="96">
        <v>1</v>
      </c>
      <c r="J397" s="42"/>
      <c r="K397" s="37"/>
      <c r="L397" s="37"/>
      <c r="M397" s="44"/>
      <c r="N397" s="44"/>
      <c r="O397" s="44"/>
      <c r="P397" s="44"/>
      <c r="Q397" s="40"/>
    </row>
    <row r="398" spans="1:17">
      <c r="A398" s="39" t="s">
        <v>492</v>
      </c>
      <c r="B398" s="47" t="s">
        <v>548</v>
      </c>
      <c r="C398" s="39" t="s">
        <v>122</v>
      </c>
      <c r="D398" s="47" t="s">
        <v>547</v>
      </c>
      <c r="E398" s="92">
        <v>2519793</v>
      </c>
      <c r="F398" s="96">
        <v>40</v>
      </c>
      <c r="G398" s="96">
        <v>1</v>
      </c>
      <c r="J398" s="42"/>
      <c r="K398" s="37"/>
      <c r="L398" s="37"/>
      <c r="M398" s="44"/>
      <c r="N398" s="44"/>
      <c r="O398" s="44"/>
      <c r="P398" s="44"/>
      <c r="Q398" s="40"/>
    </row>
    <row r="399" spans="1:17">
      <c r="A399" s="39" t="s">
        <v>493</v>
      </c>
      <c r="B399" s="47" t="s">
        <v>548</v>
      </c>
      <c r="C399" s="39" t="s">
        <v>103</v>
      </c>
      <c r="D399" s="47" t="s">
        <v>547</v>
      </c>
      <c r="E399" s="92">
        <v>753849</v>
      </c>
      <c r="F399" s="96">
        <v>18</v>
      </c>
      <c r="G399" s="96">
        <v>1</v>
      </c>
      <c r="J399" s="42"/>
      <c r="K399" s="37"/>
      <c r="L399" s="37"/>
      <c r="M399" s="44"/>
      <c r="N399" s="44"/>
      <c r="O399" s="44"/>
      <c r="P399" s="44"/>
      <c r="Q399" s="40"/>
    </row>
    <row r="400" spans="1:17">
      <c r="A400" s="39" t="s">
        <v>644</v>
      </c>
      <c r="B400" s="47" t="s">
        <v>548</v>
      </c>
      <c r="C400" s="39" t="s">
        <v>103</v>
      </c>
      <c r="D400" s="47" t="s">
        <v>547</v>
      </c>
      <c r="E400" s="92">
        <v>3740315</v>
      </c>
      <c r="F400" s="96">
        <v>60</v>
      </c>
      <c r="G400" s="96">
        <v>1</v>
      </c>
      <c r="J400" s="42"/>
      <c r="K400" s="37"/>
      <c r="L400" s="37"/>
      <c r="M400" s="44"/>
      <c r="N400" s="44"/>
      <c r="O400" s="44"/>
      <c r="P400" s="44"/>
      <c r="Q400" s="40"/>
    </row>
    <row r="401" spans="1:17">
      <c r="A401" s="39" t="s">
        <v>494</v>
      </c>
      <c r="B401" s="47" t="s">
        <v>550</v>
      </c>
      <c r="C401" s="39" t="s">
        <v>149</v>
      </c>
      <c r="D401" s="47" t="s">
        <v>547</v>
      </c>
      <c r="E401" s="92">
        <v>1908597</v>
      </c>
      <c r="F401" s="96">
        <v>42</v>
      </c>
      <c r="G401" s="96">
        <v>1</v>
      </c>
      <c r="J401" s="42"/>
      <c r="K401" s="37"/>
      <c r="L401" s="37"/>
      <c r="M401" s="44"/>
      <c r="N401" s="44"/>
      <c r="O401" s="44"/>
      <c r="P401" s="44"/>
      <c r="Q401" s="40"/>
    </row>
    <row r="402" spans="1:17">
      <c r="A402" s="39" t="s">
        <v>645</v>
      </c>
      <c r="B402" s="47" t="s">
        <v>550</v>
      </c>
      <c r="C402" s="39" t="s">
        <v>149</v>
      </c>
      <c r="D402" s="47" t="s">
        <v>547</v>
      </c>
      <c r="E402" s="92">
        <v>1256984</v>
      </c>
      <c r="F402" s="96">
        <v>35</v>
      </c>
      <c r="G402" s="96">
        <v>1</v>
      </c>
      <c r="J402" s="42"/>
      <c r="K402" s="37"/>
      <c r="L402" s="37"/>
      <c r="M402" s="44"/>
      <c r="N402" s="44"/>
      <c r="O402" s="44"/>
      <c r="P402" s="44"/>
      <c r="Q402" s="40"/>
    </row>
    <row r="403" spans="1:17">
      <c r="A403" s="39" t="s">
        <v>495</v>
      </c>
      <c r="B403" s="47" t="s">
        <v>548</v>
      </c>
      <c r="C403" s="39" t="s">
        <v>122</v>
      </c>
      <c r="D403" s="47" t="s">
        <v>549</v>
      </c>
      <c r="E403" s="92">
        <v>13625087</v>
      </c>
      <c r="F403" s="96">
        <v>75</v>
      </c>
      <c r="G403" s="96">
        <v>1</v>
      </c>
      <c r="J403" s="42"/>
      <c r="K403" s="37"/>
      <c r="L403" s="37"/>
      <c r="M403" s="44"/>
      <c r="N403" s="44"/>
      <c r="O403" s="44"/>
      <c r="P403" s="44"/>
      <c r="Q403" s="40"/>
    </row>
    <row r="404" spans="1:17">
      <c r="A404" s="39" t="s">
        <v>496</v>
      </c>
      <c r="B404" s="47" t="s">
        <v>548</v>
      </c>
      <c r="C404" s="39" t="s">
        <v>133</v>
      </c>
      <c r="D404" s="47" t="s">
        <v>547</v>
      </c>
      <c r="E404" s="92">
        <v>9640026</v>
      </c>
      <c r="F404" s="96">
        <v>80</v>
      </c>
      <c r="G404" s="96">
        <v>1</v>
      </c>
      <c r="J404" s="42"/>
      <c r="K404" s="37"/>
      <c r="L404" s="37"/>
      <c r="M404" s="44"/>
      <c r="N404" s="44"/>
      <c r="O404" s="44"/>
      <c r="P404" s="44"/>
      <c r="Q404" s="40"/>
    </row>
    <row r="405" spans="1:17">
      <c r="A405" s="39" t="s">
        <v>497</v>
      </c>
      <c r="B405" s="47" t="s">
        <v>548</v>
      </c>
      <c r="C405" s="39" t="s">
        <v>32</v>
      </c>
      <c r="D405" s="47" t="s">
        <v>549</v>
      </c>
      <c r="E405" s="92">
        <v>5191820</v>
      </c>
      <c r="F405" s="96">
        <v>49</v>
      </c>
      <c r="G405" s="96">
        <v>1</v>
      </c>
      <c r="J405" s="42"/>
      <c r="K405" s="37"/>
      <c r="L405" s="37"/>
      <c r="M405" s="44"/>
      <c r="N405" s="44"/>
      <c r="O405" s="44"/>
      <c r="P405" s="44"/>
      <c r="Q405" s="40"/>
    </row>
    <row r="406" spans="1:17">
      <c r="A406" s="39" t="s">
        <v>498</v>
      </c>
      <c r="B406" s="47" t="s">
        <v>548</v>
      </c>
      <c r="C406" s="39" t="s">
        <v>103</v>
      </c>
      <c r="D406" s="47" t="s">
        <v>549</v>
      </c>
      <c r="E406" s="92">
        <v>17083439</v>
      </c>
      <c r="F406" s="96">
        <v>105</v>
      </c>
      <c r="G406" s="96">
        <v>1</v>
      </c>
      <c r="J406" s="42"/>
      <c r="K406" s="37"/>
      <c r="L406" s="37"/>
      <c r="M406" s="44"/>
      <c r="N406" s="44"/>
      <c r="O406" s="44"/>
      <c r="P406" s="44"/>
      <c r="Q406" s="40"/>
    </row>
    <row r="407" spans="1:17">
      <c r="A407" s="39" t="s">
        <v>499</v>
      </c>
      <c r="B407" s="47" t="s">
        <v>548</v>
      </c>
      <c r="C407" s="39" t="s">
        <v>129</v>
      </c>
      <c r="D407" s="47" t="s">
        <v>549</v>
      </c>
      <c r="E407" s="92">
        <v>8434791</v>
      </c>
      <c r="F407" s="96">
        <v>58</v>
      </c>
      <c r="G407" s="96">
        <v>1</v>
      </c>
      <c r="J407" s="42"/>
      <c r="K407" s="37"/>
      <c r="L407" s="37"/>
      <c r="M407" s="44"/>
      <c r="N407" s="44"/>
      <c r="O407" s="44"/>
      <c r="P407" s="44"/>
      <c r="Q407" s="40"/>
    </row>
    <row r="408" spans="1:17">
      <c r="A408" s="39" t="s">
        <v>561</v>
      </c>
      <c r="B408" s="47" t="s">
        <v>548</v>
      </c>
      <c r="C408" s="39" t="s">
        <v>156</v>
      </c>
      <c r="D408" s="47" t="s">
        <v>549</v>
      </c>
      <c r="E408" s="92">
        <v>749123</v>
      </c>
      <c r="F408" s="96">
        <v>30</v>
      </c>
      <c r="G408" s="96">
        <v>1</v>
      </c>
      <c r="J408" s="42"/>
      <c r="K408" s="37"/>
      <c r="L408" s="37"/>
      <c r="M408" s="44"/>
      <c r="N408" s="44"/>
      <c r="O408" s="44"/>
      <c r="P408" s="44"/>
      <c r="Q408" s="40"/>
    </row>
    <row r="409" spans="1:17">
      <c r="A409" s="39" t="s">
        <v>657</v>
      </c>
      <c r="B409" s="47" t="s">
        <v>548</v>
      </c>
      <c r="C409" s="39" t="s">
        <v>144</v>
      </c>
      <c r="D409" s="47" t="s">
        <v>549</v>
      </c>
      <c r="E409" s="92">
        <v>2779514</v>
      </c>
      <c r="F409" s="96">
        <v>29</v>
      </c>
      <c r="G409" s="96">
        <v>1</v>
      </c>
      <c r="J409" s="42"/>
      <c r="K409" s="37"/>
      <c r="L409" s="37"/>
      <c r="M409" s="44"/>
      <c r="N409" s="44"/>
      <c r="O409" s="44"/>
      <c r="P409" s="44"/>
      <c r="Q409" s="40"/>
    </row>
    <row r="410" spans="1:17">
      <c r="A410" s="39" t="s">
        <v>500</v>
      </c>
      <c r="B410" s="47" t="s">
        <v>548</v>
      </c>
      <c r="C410" s="39" t="s">
        <v>144</v>
      </c>
      <c r="D410" s="47" t="s">
        <v>549</v>
      </c>
      <c r="E410" s="92">
        <v>2362268</v>
      </c>
      <c r="F410" s="96">
        <v>32</v>
      </c>
      <c r="G410" s="96">
        <v>1</v>
      </c>
      <c r="J410" s="42"/>
      <c r="K410" s="37"/>
      <c r="L410" s="37"/>
      <c r="M410" s="44"/>
      <c r="N410" s="44"/>
      <c r="O410" s="44"/>
      <c r="P410" s="44"/>
      <c r="Q410" s="40"/>
    </row>
    <row r="411" spans="1:17">
      <c r="A411" s="39" t="s">
        <v>658</v>
      </c>
      <c r="B411" s="47" t="s">
        <v>550</v>
      </c>
      <c r="C411" s="39" t="s">
        <v>115</v>
      </c>
      <c r="D411" s="47" t="s">
        <v>547</v>
      </c>
      <c r="E411" s="92">
        <v>2548523</v>
      </c>
      <c r="F411" s="96">
        <v>60</v>
      </c>
      <c r="G411" s="96">
        <v>1</v>
      </c>
      <c r="J411" s="42"/>
      <c r="K411" s="37"/>
      <c r="L411" s="37"/>
      <c r="M411" s="44"/>
      <c r="N411" s="44"/>
      <c r="O411" s="44"/>
      <c r="P411" s="44"/>
      <c r="Q411" s="40"/>
    </row>
    <row r="412" spans="1:17">
      <c r="A412" s="39" t="s">
        <v>659</v>
      </c>
      <c r="B412" s="47" t="s">
        <v>550</v>
      </c>
      <c r="C412" s="39" t="s">
        <v>115</v>
      </c>
      <c r="D412" s="47" t="s">
        <v>547</v>
      </c>
      <c r="E412" s="92">
        <v>3262049</v>
      </c>
      <c r="F412" s="96">
        <v>40</v>
      </c>
      <c r="G412" s="96">
        <v>1</v>
      </c>
      <c r="J412" s="42"/>
      <c r="K412" s="37"/>
      <c r="L412" s="37"/>
      <c r="M412" s="44"/>
      <c r="N412" s="44"/>
      <c r="O412" s="44"/>
      <c r="P412" s="44"/>
      <c r="Q412" s="40"/>
    </row>
    <row r="413" spans="1:17">
      <c r="A413" s="39" t="s">
        <v>660</v>
      </c>
      <c r="B413" s="47" t="s">
        <v>548</v>
      </c>
      <c r="C413" s="39" t="s">
        <v>124</v>
      </c>
      <c r="D413" s="47" t="s">
        <v>549</v>
      </c>
      <c r="E413" s="92">
        <v>3867667</v>
      </c>
      <c r="F413" s="96">
        <v>50</v>
      </c>
      <c r="G413" s="96">
        <v>1</v>
      </c>
      <c r="J413" s="42"/>
      <c r="K413" s="37"/>
      <c r="L413" s="37"/>
      <c r="M413" s="44"/>
      <c r="N413" s="44"/>
      <c r="O413" s="44"/>
      <c r="P413" s="44"/>
      <c r="Q413" s="40"/>
    </row>
    <row r="414" spans="1:17">
      <c r="A414" s="39" t="s">
        <v>661</v>
      </c>
      <c r="B414" s="47" t="s">
        <v>548</v>
      </c>
      <c r="C414" s="39" t="s">
        <v>154</v>
      </c>
      <c r="D414" s="47" t="s">
        <v>547</v>
      </c>
      <c r="E414" s="92">
        <v>8942310</v>
      </c>
      <c r="F414" s="96">
        <v>80</v>
      </c>
      <c r="G414" s="96">
        <v>1</v>
      </c>
      <c r="J414" s="42"/>
      <c r="K414" s="37"/>
      <c r="L414" s="37"/>
      <c r="M414" s="44"/>
      <c r="N414" s="44"/>
      <c r="O414" s="44"/>
      <c r="P414" s="44"/>
      <c r="Q414" s="40"/>
    </row>
    <row r="415" spans="1:17">
      <c r="A415" s="39" t="s">
        <v>662</v>
      </c>
      <c r="B415" s="47" t="s">
        <v>548</v>
      </c>
      <c r="C415" s="39" t="s">
        <v>139</v>
      </c>
      <c r="D415" s="47" t="s">
        <v>547</v>
      </c>
      <c r="E415" s="92">
        <v>1364699</v>
      </c>
      <c r="F415" s="96">
        <v>43</v>
      </c>
      <c r="G415" s="96">
        <v>1</v>
      </c>
      <c r="J415" s="42"/>
      <c r="K415" s="37"/>
      <c r="L415" s="37"/>
      <c r="M415" s="44"/>
      <c r="N415" s="44"/>
      <c r="O415" s="44"/>
      <c r="P415" s="44"/>
      <c r="Q415" s="40"/>
    </row>
    <row r="416" spans="1:17">
      <c r="A416" s="39" t="s">
        <v>663</v>
      </c>
      <c r="B416" s="47" t="s">
        <v>548</v>
      </c>
      <c r="C416" s="39" t="s">
        <v>112</v>
      </c>
      <c r="D416" s="47" t="s">
        <v>549</v>
      </c>
      <c r="E416" s="92">
        <v>5422868</v>
      </c>
      <c r="F416" s="96">
        <v>50</v>
      </c>
      <c r="G416" s="96">
        <v>1</v>
      </c>
      <c r="J416" s="42"/>
      <c r="K416" s="37"/>
      <c r="L416" s="37"/>
      <c r="M416" s="44"/>
      <c r="N416" s="44"/>
      <c r="O416" s="44"/>
      <c r="P416" s="44"/>
      <c r="Q416" s="40"/>
    </row>
    <row r="417" spans="1:17">
      <c r="A417" s="39" t="s">
        <v>664</v>
      </c>
      <c r="B417" s="47" t="s">
        <v>548</v>
      </c>
      <c r="C417" s="39" t="s">
        <v>31</v>
      </c>
      <c r="D417" s="47" t="s">
        <v>549</v>
      </c>
      <c r="E417" s="92">
        <v>18181458</v>
      </c>
      <c r="F417" s="96">
        <v>90</v>
      </c>
      <c r="G417" s="96">
        <v>1</v>
      </c>
      <c r="J417" s="42"/>
      <c r="K417" s="37"/>
      <c r="L417" s="37"/>
      <c r="M417" s="44"/>
      <c r="N417" s="44"/>
      <c r="O417" s="44"/>
      <c r="P417" s="44"/>
      <c r="Q417" s="40"/>
    </row>
    <row r="418" spans="1:17">
      <c r="A418" s="39" t="s">
        <v>665</v>
      </c>
      <c r="B418" s="47" t="s">
        <v>548</v>
      </c>
      <c r="C418" s="39" t="s">
        <v>136</v>
      </c>
      <c r="D418" s="47" t="s">
        <v>549</v>
      </c>
      <c r="E418" s="92">
        <v>6514795</v>
      </c>
      <c r="F418" s="96">
        <v>35</v>
      </c>
      <c r="G418" s="96">
        <v>1</v>
      </c>
      <c r="J418" s="42"/>
      <c r="K418" s="37"/>
      <c r="L418" s="37"/>
      <c r="M418" s="44"/>
      <c r="N418" s="44"/>
      <c r="O418" s="44"/>
      <c r="P418" s="44"/>
      <c r="Q418" s="40"/>
    </row>
    <row r="419" spans="1:17">
      <c r="A419" s="39" t="s">
        <v>501</v>
      </c>
      <c r="B419" s="47" t="s">
        <v>548</v>
      </c>
      <c r="C419" s="39" t="s">
        <v>133</v>
      </c>
      <c r="D419" s="47" t="s">
        <v>547</v>
      </c>
      <c r="E419" s="92">
        <v>11472171</v>
      </c>
      <c r="F419" s="96">
        <v>66</v>
      </c>
      <c r="G419" s="96">
        <v>1</v>
      </c>
      <c r="J419" s="42"/>
      <c r="K419" s="37"/>
      <c r="L419" s="37"/>
      <c r="M419" s="44"/>
      <c r="N419" s="44"/>
      <c r="O419" s="44"/>
      <c r="P419" s="44"/>
      <c r="Q419" s="40"/>
    </row>
    <row r="420" spans="1:17">
      <c r="A420" s="39" t="s">
        <v>666</v>
      </c>
      <c r="B420" s="47" t="s">
        <v>548</v>
      </c>
      <c r="C420" s="39" t="s">
        <v>131</v>
      </c>
      <c r="D420" s="47" t="s">
        <v>547</v>
      </c>
      <c r="E420" s="92">
        <v>5318613</v>
      </c>
      <c r="F420" s="96">
        <v>90</v>
      </c>
      <c r="G420" s="96">
        <v>1</v>
      </c>
      <c r="J420" s="42"/>
      <c r="K420" s="37"/>
      <c r="L420" s="37"/>
      <c r="M420" s="44"/>
      <c r="N420" s="44"/>
      <c r="O420" s="44"/>
      <c r="P420" s="44"/>
      <c r="Q420" s="40"/>
    </row>
    <row r="421" spans="1:17">
      <c r="A421" s="39" t="s">
        <v>667</v>
      </c>
      <c r="B421" s="47" t="s">
        <v>548</v>
      </c>
      <c r="C421" s="39" t="s">
        <v>124</v>
      </c>
      <c r="D421" s="47" t="s">
        <v>549</v>
      </c>
      <c r="E421" s="92">
        <v>8008074</v>
      </c>
      <c r="F421" s="96">
        <v>53</v>
      </c>
      <c r="G421" s="96">
        <v>1</v>
      </c>
      <c r="J421" s="42"/>
      <c r="K421" s="37"/>
      <c r="L421" s="37"/>
      <c r="M421" s="44"/>
      <c r="N421" s="44"/>
      <c r="O421" s="44"/>
      <c r="P421" s="44"/>
      <c r="Q421" s="40"/>
    </row>
    <row r="422" spans="1:17">
      <c r="A422" s="39" t="s">
        <v>668</v>
      </c>
      <c r="B422" s="47" t="s">
        <v>548</v>
      </c>
      <c r="C422" s="39" t="s">
        <v>112</v>
      </c>
      <c r="D422" s="47" t="s">
        <v>547</v>
      </c>
      <c r="E422" s="92">
        <v>1015961</v>
      </c>
      <c r="F422" s="96">
        <v>32</v>
      </c>
      <c r="G422" s="96">
        <v>1</v>
      </c>
      <c r="J422" s="42"/>
      <c r="K422" s="37"/>
      <c r="L422" s="37"/>
      <c r="M422" s="44"/>
      <c r="N422" s="44"/>
      <c r="O422" s="44"/>
      <c r="P422" s="44"/>
      <c r="Q422" s="40"/>
    </row>
    <row r="423" spans="1:17">
      <c r="A423" s="39" t="s">
        <v>669</v>
      </c>
      <c r="B423" s="47" t="s">
        <v>550</v>
      </c>
      <c r="C423" s="39" t="s">
        <v>115</v>
      </c>
      <c r="D423" s="47" t="s">
        <v>549</v>
      </c>
      <c r="E423" s="92">
        <v>1620081</v>
      </c>
      <c r="F423" s="96">
        <v>25</v>
      </c>
      <c r="G423" s="96">
        <v>1</v>
      </c>
      <c r="J423" s="42"/>
      <c r="K423" s="37"/>
      <c r="L423" s="37"/>
      <c r="M423" s="44"/>
      <c r="N423" s="44"/>
      <c r="O423" s="44"/>
      <c r="P423" s="44"/>
      <c r="Q423" s="40"/>
    </row>
    <row r="424" spans="1:17">
      <c r="A424" s="39" t="s">
        <v>670</v>
      </c>
      <c r="B424" s="47" t="s">
        <v>548</v>
      </c>
      <c r="C424" s="39" t="s">
        <v>156</v>
      </c>
      <c r="D424" s="47" t="s">
        <v>547</v>
      </c>
      <c r="E424" s="92">
        <v>6842991</v>
      </c>
      <c r="F424" s="96">
        <v>80</v>
      </c>
      <c r="G424" s="96">
        <v>1</v>
      </c>
      <c r="J424" s="42"/>
      <c r="K424" s="37"/>
      <c r="L424" s="37"/>
      <c r="M424" s="44"/>
      <c r="N424" s="44"/>
      <c r="O424" s="44"/>
      <c r="P424" s="44"/>
      <c r="Q424" s="40"/>
    </row>
    <row r="425" spans="1:17">
      <c r="A425" s="39" t="s">
        <v>671</v>
      </c>
      <c r="B425" s="47" t="s">
        <v>548</v>
      </c>
      <c r="C425" s="39" t="s">
        <v>116</v>
      </c>
      <c r="D425" s="47" t="s">
        <v>549</v>
      </c>
      <c r="E425" s="92" t="s">
        <v>656</v>
      </c>
      <c r="F425" s="96">
        <v>0</v>
      </c>
      <c r="G425" s="96">
        <v>1</v>
      </c>
      <c r="J425" s="42"/>
      <c r="K425" s="37"/>
      <c r="L425" s="37"/>
      <c r="M425" s="44"/>
      <c r="N425" s="44"/>
      <c r="O425" s="44"/>
      <c r="P425" s="44"/>
      <c r="Q425" s="40"/>
    </row>
    <row r="426" spans="1:17">
      <c r="A426" s="39" t="s">
        <v>672</v>
      </c>
      <c r="B426" s="47" t="s">
        <v>550</v>
      </c>
      <c r="C426" s="39" t="s">
        <v>110</v>
      </c>
      <c r="D426" s="47" t="s">
        <v>547</v>
      </c>
      <c r="E426" s="92">
        <v>3773625</v>
      </c>
      <c r="F426" s="96">
        <v>41</v>
      </c>
      <c r="G426" s="96">
        <v>1</v>
      </c>
      <c r="J426" s="42"/>
      <c r="K426" s="37"/>
      <c r="L426" s="37"/>
      <c r="M426" s="44"/>
      <c r="N426" s="44"/>
      <c r="O426" s="44"/>
      <c r="P426" s="44"/>
      <c r="Q426" s="40"/>
    </row>
    <row r="427" spans="1:17">
      <c r="A427" s="39" t="s">
        <v>673</v>
      </c>
      <c r="B427" s="47" t="s">
        <v>548</v>
      </c>
      <c r="C427" s="39" t="s">
        <v>132</v>
      </c>
      <c r="D427" s="47" t="s">
        <v>547</v>
      </c>
      <c r="E427" s="92">
        <v>9000548</v>
      </c>
      <c r="F427" s="96">
        <v>76</v>
      </c>
      <c r="G427" s="96">
        <v>1</v>
      </c>
      <c r="J427" s="42"/>
      <c r="K427" s="37"/>
      <c r="L427" s="37"/>
      <c r="M427" s="44"/>
      <c r="N427" s="44"/>
      <c r="O427" s="44"/>
      <c r="P427" s="44"/>
      <c r="Q427" s="40"/>
    </row>
    <row r="428" spans="1:17">
      <c r="A428" s="39" t="s">
        <v>674</v>
      </c>
      <c r="B428" s="47" t="s">
        <v>548</v>
      </c>
      <c r="C428" s="39" t="s">
        <v>137</v>
      </c>
      <c r="D428" s="47" t="s">
        <v>547</v>
      </c>
      <c r="E428" s="92">
        <v>2700146</v>
      </c>
      <c r="F428" s="96">
        <v>50</v>
      </c>
      <c r="G428" s="96">
        <v>1</v>
      </c>
      <c r="J428" s="42"/>
      <c r="K428" s="37"/>
      <c r="L428" s="37"/>
      <c r="M428" s="44"/>
      <c r="N428" s="44"/>
      <c r="O428" s="44"/>
      <c r="P428" s="44"/>
      <c r="Q428" s="40"/>
    </row>
    <row r="429" spans="1:17">
      <c r="A429" s="39" t="s">
        <v>675</v>
      </c>
      <c r="B429" s="47" t="s">
        <v>550</v>
      </c>
      <c r="C429" s="39" t="s">
        <v>150</v>
      </c>
      <c r="D429" s="47" t="s">
        <v>549</v>
      </c>
      <c r="E429" s="92">
        <v>2333905</v>
      </c>
      <c r="F429" s="96">
        <v>35</v>
      </c>
      <c r="G429" s="96">
        <v>1</v>
      </c>
      <c r="J429" s="42"/>
      <c r="K429" s="37"/>
      <c r="L429" s="37"/>
      <c r="M429" s="44"/>
      <c r="N429" s="44"/>
      <c r="O429" s="44"/>
      <c r="P429" s="44"/>
      <c r="Q429" s="40"/>
    </row>
    <row r="430" spans="1:17">
      <c r="A430" s="39" t="s">
        <v>676</v>
      </c>
      <c r="B430" s="47" t="s">
        <v>550</v>
      </c>
      <c r="C430" s="39" t="s">
        <v>110</v>
      </c>
      <c r="D430" s="47" t="s">
        <v>547</v>
      </c>
      <c r="E430" s="92">
        <v>853611</v>
      </c>
      <c r="F430" s="96">
        <v>24</v>
      </c>
      <c r="G430" s="96">
        <v>1</v>
      </c>
      <c r="J430" s="42"/>
      <c r="K430" s="37"/>
      <c r="L430" s="37"/>
      <c r="M430" s="44"/>
      <c r="N430" s="44"/>
      <c r="O430" s="44"/>
      <c r="P430" s="44"/>
      <c r="Q430" s="40"/>
    </row>
    <row r="431" spans="1:17">
      <c r="A431" s="39" t="s">
        <v>677</v>
      </c>
      <c r="B431" s="47" t="s">
        <v>548</v>
      </c>
      <c r="C431" s="39" t="s">
        <v>154</v>
      </c>
      <c r="D431" s="47" t="s">
        <v>549</v>
      </c>
      <c r="E431" s="92">
        <v>7931651</v>
      </c>
      <c r="F431" s="96">
        <v>50</v>
      </c>
      <c r="G431" s="96">
        <v>1</v>
      </c>
      <c r="J431" s="42"/>
      <c r="K431" s="37"/>
      <c r="L431" s="37"/>
      <c r="M431" s="44"/>
      <c r="N431" s="44"/>
      <c r="O431" s="44"/>
      <c r="P431" s="44"/>
      <c r="Q431" s="40"/>
    </row>
    <row r="432" spans="1:17">
      <c r="A432" s="39" t="s">
        <v>678</v>
      </c>
      <c r="B432" s="47" t="s">
        <v>548</v>
      </c>
      <c r="C432" s="39" t="s">
        <v>106</v>
      </c>
      <c r="D432" s="47" t="s">
        <v>549</v>
      </c>
      <c r="E432" s="92">
        <v>2169391</v>
      </c>
      <c r="F432" s="96">
        <v>60</v>
      </c>
      <c r="G432" s="96">
        <v>1</v>
      </c>
      <c r="J432" s="42"/>
      <c r="K432" s="37"/>
      <c r="L432" s="37"/>
      <c r="M432" s="44"/>
      <c r="N432" s="44"/>
      <c r="O432" s="44"/>
      <c r="P432" s="44"/>
      <c r="Q432" s="40"/>
    </row>
    <row r="433" spans="1:17">
      <c r="A433" s="39" t="s">
        <v>679</v>
      </c>
      <c r="B433" s="47" t="s">
        <v>548</v>
      </c>
      <c r="C433" s="39" t="s">
        <v>32</v>
      </c>
      <c r="D433" s="47" t="s">
        <v>549</v>
      </c>
      <c r="E433" s="92">
        <v>4822187</v>
      </c>
      <c r="F433" s="96">
        <v>40</v>
      </c>
      <c r="G433" s="96">
        <v>1</v>
      </c>
      <c r="J433" s="42"/>
      <c r="K433" s="37"/>
      <c r="L433" s="37"/>
      <c r="M433" s="44"/>
      <c r="N433" s="44"/>
      <c r="O433" s="44"/>
      <c r="P433" s="44"/>
      <c r="Q433" s="40"/>
    </row>
    <row r="434" spans="1:17">
      <c r="A434" s="39" t="s">
        <v>680</v>
      </c>
      <c r="B434" s="47" t="s">
        <v>548</v>
      </c>
      <c r="C434" s="39" t="s">
        <v>144</v>
      </c>
      <c r="D434" s="47" t="s">
        <v>547</v>
      </c>
      <c r="E434" s="92">
        <v>4641549</v>
      </c>
      <c r="F434" s="96">
        <v>57</v>
      </c>
      <c r="G434" s="96">
        <v>1</v>
      </c>
      <c r="J434" s="42"/>
      <c r="K434" s="37"/>
      <c r="L434" s="37"/>
      <c r="M434" s="44"/>
      <c r="N434" s="44"/>
      <c r="O434" s="44"/>
      <c r="P434" s="44"/>
      <c r="Q434" s="40"/>
    </row>
    <row r="435" spans="1:17">
      <c r="A435" s="39" t="s">
        <v>681</v>
      </c>
      <c r="B435" s="47" t="s">
        <v>550</v>
      </c>
      <c r="C435" s="39" t="s">
        <v>113</v>
      </c>
      <c r="D435" s="47" t="s">
        <v>549</v>
      </c>
      <c r="E435" s="92">
        <v>3181198</v>
      </c>
      <c r="F435" s="96">
        <v>32</v>
      </c>
      <c r="G435" s="96">
        <v>1</v>
      </c>
      <c r="J435" s="42"/>
      <c r="K435" s="37"/>
      <c r="L435" s="37"/>
      <c r="M435" s="44"/>
      <c r="N435" s="44"/>
      <c r="O435" s="44"/>
      <c r="P435" s="44"/>
      <c r="Q435" s="40"/>
    </row>
    <row r="436" spans="1:17">
      <c r="A436" s="39" t="s">
        <v>682</v>
      </c>
      <c r="B436" s="47" t="s">
        <v>548</v>
      </c>
      <c r="C436" s="39" t="s">
        <v>32</v>
      </c>
      <c r="D436" s="47" t="s">
        <v>549</v>
      </c>
      <c r="E436" s="92">
        <v>3495777</v>
      </c>
      <c r="F436" s="96">
        <v>31</v>
      </c>
      <c r="G436" s="96">
        <v>1</v>
      </c>
      <c r="J436" s="42"/>
      <c r="K436" s="37"/>
      <c r="L436" s="37"/>
      <c r="M436" s="44"/>
      <c r="N436" s="44"/>
      <c r="O436" s="44"/>
      <c r="P436" s="44"/>
      <c r="Q436" s="40"/>
    </row>
    <row r="437" spans="1:17">
      <c r="A437" s="39" t="s">
        <v>683</v>
      </c>
      <c r="B437" s="47" t="s">
        <v>548</v>
      </c>
      <c r="C437" s="39" t="s">
        <v>125</v>
      </c>
      <c r="D437" s="47" t="s">
        <v>549</v>
      </c>
      <c r="E437" s="92">
        <v>6610838</v>
      </c>
      <c r="F437" s="96">
        <v>69</v>
      </c>
      <c r="G437" s="96">
        <v>1</v>
      </c>
      <c r="J437" s="42"/>
      <c r="K437" s="37"/>
      <c r="L437" s="37"/>
      <c r="M437" s="44"/>
      <c r="N437" s="44"/>
      <c r="O437" s="44"/>
      <c r="P437" s="44"/>
      <c r="Q437" s="40"/>
    </row>
    <row r="438" spans="1:17">
      <c r="A438" s="39" t="s">
        <v>684</v>
      </c>
      <c r="B438" s="47" t="s">
        <v>550</v>
      </c>
      <c r="C438" s="39" t="s">
        <v>151</v>
      </c>
      <c r="D438" s="47" t="s">
        <v>547</v>
      </c>
      <c r="E438" s="92">
        <v>1620239</v>
      </c>
      <c r="F438" s="96">
        <v>36</v>
      </c>
      <c r="G438" s="96">
        <v>1</v>
      </c>
      <c r="J438" s="42"/>
      <c r="K438" s="37"/>
      <c r="L438" s="37"/>
      <c r="M438" s="44"/>
      <c r="N438" s="44"/>
      <c r="O438" s="44"/>
      <c r="P438" s="44"/>
      <c r="Q438" s="40"/>
    </row>
    <row r="439" spans="1:17">
      <c r="A439" s="39" t="s">
        <v>685</v>
      </c>
      <c r="B439" s="47" t="s">
        <v>548</v>
      </c>
      <c r="C439" s="39" t="s">
        <v>107</v>
      </c>
      <c r="D439" s="47" t="s">
        <v>549</v>
      </c>
      <c r="E439" s="92">
        <v>13257623</v>
      </c>
      <c r="F439" s="96">
        <v>52</v>
      </c>
      <c r="G439" s="96">
        <v>1</v>
      </c>
      <c r="J439" s="42"/>
      <c r="K439" s="37"/>
      <c r="L439" s="37"/>
      <c r="M439" s="44"/>
      <c r="N439" s="44"/>
      <c r="O439" s="44"/>
      <c r="P439" s="44"/>
      <c r="Q439" s="40"/>
    </row>
    <row r="440" spans="1:17">
      <c r="A440" s="39" t="s">
        <v>686</v>
      </c>
      <c r="B440" s="47" t="s">
        <v>548</v>
      </c>
      <c r="C440" s="39" t="s">
        <v>154</v>
      </c>
      <c r="D440" s="47" t="s">
        <v>547</v>
      </c>
      <c r="E440" s="92">
        <v>14765673</v>
      </c>
      <c r="F440" s="96">
        <v>85</v>
      </c>
      <c r="G440" s="96">
        <v>1</v>
      </c>
      <c r="J440" s="42"/>
      <c r="K440" s="37"/>
      <c r="L440" s="37"/>
      <c r="M440" s="44"/>
      <c r="N440" s="44"/>
      <c r="O440" s="44"/>
      <c r="P440" s="44"/>
      <c r="Q440" s="40"/>
    </row>
    <row r="441" spans="1:17">
      <c r="A441" s="39" t="s">
        <v>687</v>
      </c>
      <c r="B441" s="47" t="s">
        <v>548</v>
      </c>
      <c r="C441" s="39" t="s">
        <v>136</v>
      </c>
      <c r="D441" s="47" t="s">
        <v>549</v>
      </c>
      <c r="E441" s="92">
        <v>9670049</v>
      </c>
      <c r="F441" s="96">
        <v>55</v>
      </c>
      <c r="G441" s="96">
        <v>1</v>
      </c>
      <c r="J441" s="42"/>
      <c r="K441" s="37"/>
      <c r="L441" s="37"/>
      <c r="M441" s="44"/>
      <c r="N441" s="44"/>
      <c r="O441" s="44"/>
      <c r="P441" s="44"/>
      <c r="Q441" s="40"/>
    </row>
    <row r="442" spans="1:17">
      <c r="A442" s="39" t="s">
        <v>688</v>
      </c>
      <c r="B442" s="47" t="s">
        <v>548</v>
      </c>
      <c r="C442" s="39" t="s">
        <v>120</v>
      </c>
      <c r="D442" s="47" t="s">
        <v>547</v>
      </c>
      <c r="E442" s="92">
        <v>3204799</v>
      </c>
      <c r="F442" s="96">
        <v>60</v>
      </c>
      <c r="G442" s="96">
        <v>1</v>
      </c>
      <c r="J442" s="42"/>
      <c r="K442" s="37"/>
      <c r="L442" s="37"/>
      <c r="M442" s="44"/>
      <c r="N442" s="44"/>
      <c r="O442" s="44"/>
      <c r="P442" s="44"/>
      <c r="Q442" s="40"/>
    </row>
    <row r="443" spans="1:17">
      <c r="A443" s="39" t="s">
        <v>689</v>
      </c>
      <c r="B443" s="47" t="s">
        <v>550</v>
      </c>
      <c r="C443" s="39" t="s">
        <v>151</v>
      </c>
      <c r="D443" s="47" t="s">
        <v>547</v>
      </c>
      <c r="E443" s="92">
        <v>2731291</v>
      </c>
      <c r="F443" s="96">
        <v>37</v>
      </c>
      <c r="G443" s="96">
        <v>1</v>
      </c>
      <c r="J443" s="42"/>
      <c r="K443" s="37"/>
      <c r="L443" s="37"/>
      <c r="M443" s="44"/>
      <c r="N443" s="44"/>
      <c r="O443" s="44"/>
      <c r="P443" s="44"/>
      <c r="Q443" s="40"/>
    </row>
    <row r="444" spans="1:17">
      <c r="A444" s="39" t="s">
        <v>502</v>
      </c>
      <c r="B444" s="47" t="s">
        <v>548</v>
      </c>
      <c r="C444" s="39" t="s">
        <v>107</v>
      </c>
      <c r="D444" s="47" t="s">
        <v>547</v>
      </c>
      <c r="E444" s="92">
        <v>2210714</v>
      </c>
      <c r="F444" s="96">
        <v>46</v>
      </c>
      <c r="G444" s="96">
        <v>1</v>
      </c>
      <c r="J444" s="42"/>
      <c r="K444" s="37"/>
      <c r="L444" s="37"/>
      <c r="M444" s="44"/>
      <c r="N444" s="44"/>
      <c r="O444" s="44"/>
      <c r="P444" s="44"/>
      <c r="Q444" s="40"/>
    </row>
    <row r="445" spans="1:17">
      <c r="A445" s="39" t="s">
        <v>503</v>
      </c>
      <c r="B445" s="47" t="s">
        <v>550</v>
      </c>
      <c r="C445" s="39" t="s">
        <v>148</v>
      </c>
      <c r="D445" s="47" t="s">
        <v>549</v>
      </c>
      <c r="E445" s="92">
        <v>3073439</v>
      </c>
      <c r="F445" s="96">
        <v>45</v>
      </c>
      <c r="G445" s="96">
        <v>1</v>
      </c>
      <c r="J445" s="42"/>
      <c r="K445" s="37"/>
      <c r="L445" s="37"/>
      <c r="M445" s="44"/>
      <c r="N445" s="44"/>
      <c r="O445" s="44"/>
      <c r="P445" s="44"/>
      <c r="Q445" s="40"/>
    </row>
    <row r="446" spans="1:17">
      <c r="A446" s="39" t="s">
        <v>504</v>
      </c>
      <c r="B446" s="47" t="s">
        <v>548</v>
      </c>
      <c r="C446" s="39" t="s">
        <v>102</v>
      </c>
      <c r="D446" s="47" t="s">
        <v>549</v>
      </c>
      <c r="E446" s="92">
        <v>2883273</v>
      </c>
      <c r="F446" s="96">
        <v>33</v>
      </c>
      <c r="G446" s="96">
        <v>1</v>
      </c>
      <c r="J446" s="42"/>
      <c r="K446" s="37"/>
      <c r="L446" s="37"/>
      <c r="M446" s="44"/>
      <c r="N446" s="44"/>
      <c r="O446" s="44"/>
      <c r="P446" s="44"/>
      <c r="Q446" s="40"/>
    </row>
    <row r="447" spans="1:17">
      <c r="A447" s="39" t="s">
        <v>505</v>
      </c>
      <c r="B447" s="47" t="s">
        <v>550</v>
      </c>
      <c r="C447" s="39" t="s">
        <v>126</v>
      </c>
      <c r="D447" s="47" t="s">
        <v>547</v>
      </c>
      <c r="E447" s="92">
        <v>6919005</v>
      </c>
      <c r="F447" s="96">
        <v>59</v>
      </c>
      <c r="G447" s="96">
        <v>1</v>
      </c>
      <c r="J447" s="42"/>
      <c r="K447" s="37"/>
      <c r="L447" s="37"/>
      <c r="M447" s="44"/>
      <c r="N447" s="44"/>
      <c r="O447" s="44"/>
      <c r="P447" s="44"/>
      <c r="Q447" s="40"/>
    </row>
    <row r="448" spans="1:17">
      <c r="A448" s="39" t="s">
        <v>646</v>
      </c>
      <c r="B448" s="47" t="s">
        <v>550</v>
      </c>
      <c r="C448" s="39" t="s">
        <v>126</v>
      </c>
      <c r="D448" s="47" t="s">
        <v>547</v>
      </c>
      <c r="E448" s="92">
        <v>3070793</v>
      </c>
      <c r="F448" s="96">
        <v>37</v>
      </c>
      <c r="G448" s="96">
        <v>1</v>
      </c>
      <c r="J448" s="42"/>
      <c r="K448" s="37"/>
      <c r="L448" s="37"/>
      <c r="M448" s="44"/>
      <c r="N448" s="44"/>
      <c r="O448" s="44"/>
      <c r="P448" s="44"/>
      <c r="Q448" s="40"/>
    </row>
    <row r="449" spans="1:17">
      <c r="A449" s="39" t="s">
        <v>506</v>
      </c>
      <c r="B449" s="47" t="s">
        <v>548</v>
      </c>
      <c r="C449" s="39" t="s">
        <v>107</v>
      </c>
      <c r="D449" s="47" t="s">
        <v>547</v>
      </c>
      <c r="E449" s="92">
        <v>13224171</v>
      </c>
      <c r="F449" s="96">
        <v>75</v>
      </c>
      <c r="G449" s="96">
        <v>1</v>
      </c>
      <c r="J449" s="42"/>
      <c r="K449" s="37"/>
      <c r="L449" s="37"/>
      <c r="M449" s="44"/>
      <c r="N449" s="44"/>
      <c r="O449" s="44"/>
      <c r="P449" s="44"/>
      <c r="Q449" s="40"/>
    </row>
    <row r="450" spans="1:17">
      <c r="A450" s="39" t="s">
        <v>507</v>
      </c>
      <c r="B450" s="47" t="s">
        <v>548</v>
      </c>
      <c r="C450" s="39" t="s">
        <v>124</v>
      </c>
      <c r="D450" s="47" t="s">
        <v>549</v>
      </c>
      <c r="E450" s="92">
        <v>5854652</v>
      </c>
      <c r="F450" s="96">
        <v>47</v>
      </c>
      <c r="G450" s="96">
        <v>1</v>
      </c>
      <c r="J450" s="42"/>
      <c r="K450" s="37"/>
      <c r="L450" s="37"/>
      <c r="M450" s="44"/>
      <c r="N450" s="44"/>
      <c r="O450" s="44"/>
      <c r="P450" s="44"/>
      <c r="Q450" s="40"/>
    </row>
    <row r="451" spans="1:17">
      <c r="A451" s="39" t="s">
        <v>508</v>
      </c>
      <c r="B451" s="47" t="s">
        <v>550</v>
      </c>
      <c r="C451" s="39" t="s">
        <v>108</v>
      </c>
      <c r="D451" s="47" t="s">
        <v>549</v>
      </c>
      <c r="E451" s="92">
        <v>3057906</v>
      </c>
      <c r="F451" s="96">
        <v>22</v>
      </c>
      <c r="G451" s="96">
        <v>1</v>
      </c>
      <c r="J451" s="42"/>
      <c r="K451" s="37"/>
      <c r="L451" s="37"/>
      <c r="M451" s="44"/>
      <c r="N451" s="44"/>
      <c r="O451" s="44"/>
      <c r="P451" s="44"/>
      <c r="Q451" s="40"/>
    </row>
    <row r="452" spans="1:17">
      <c r="A452" s="39" t="s">
        <v>647</v>
      </c>
      <c r="B452" s="47" t="s">
        <v>548</v>
      </c>
      <c r="C452" s="39" t="s">
        <v>156</v>
      </c>
      <c r="D452" s="47" t="s">
        <v>547</v>
      </c>
      <c r="E452" s="92">
        <v>1586537</v>
      </c>
      <c r="F452" s="96">
        <v>30</v>
      </c>
      <c r="G452" s="96">
        <v>1</v>
      </c>
      <c r="J452" s="42"/>
      <c r="K452" s="37"/>
      <c r="L452" s="37"/>
      <c r="M452" s="44"/>
      <c r="N452" s="44"/>
      <c r="O452" s="44"/>
      <c r="P452" s="44"/>
      <c r="Q452" s="40"/>
    </row>
    <row r="453" spans="1:17">
      <c r="A453" s="39" t="s">
        <v>579</v>
      </c>
      <c r="B453" s="47" t="s">
        <v>550</v>
      </c>
      <c r="C453" s="39" t="s">
        <v>117</v>
      </c>
      <c r="D453" s="47" t="s">
        <v>549</v>
      </c>
      <c r="E453" s="92">
        <v>2378544</v>
      </c>
      <c r="F453" s="96">
        <v>29</v>
      </c>
      <c r="G453" s="96">
        <v>1</v>
      </c>
      <c r="J453" s="42"/>
      <c r="K453" s="37"/>
      <c r="L453" s="37"/>
      <c r="M453" s="44"/>
      <c r="N453" s="44"/>
      <c r="O453" s="44"/>
      <c r="P453" s="44"/>
      <c r="Q453" s="40"/>
    </row>
    <row r="454" spans="1:17">
      <c r="A454" s="39" t="s">
        <v>509</v>
      </c>
      <c r="B454" s="47" t="s">
        <v>548</v>
      </c>
      <c r="C454" s="39" t="s">
        <v>136</v>
      </c>
      <c r="D454" s="47" t="s">
        <v>547</v>
      </c>
      <c r="E454" s="92">
        <v>11493300</v>
      </c>
      <c r="F454" s="96">
        <v>75</v>
      </c>
      <c r="G454" s="96">
        <v>1</v>
      </c>
      <c r="J454" s="42"/>
      <c r="K454" s="37"/>
      <c r="L454" s="37"/>
      <c r="M454" s="44"/>
      <c r="N454" s="44"/>
      <c r="O454" s="44"/>
      <c r="P454" s="44"/>
      <c r="Q454" s="40"/>
    </row>
    <row r="455" spans="1:17">
      <c r="A455" s="39" t="s">
        <v>510</v>
      </c>
      <c r="B455" s="47" t="s">
        <v>548</v>
      </c>
      <c r="C455" s="39" t="s">
        <v>129</v>
      </c>
      <c r="D455" s="47" t="s">
        <v>547</v>
      </c>
      <c r="E455" s="92">
        <v>5337239</v>
      </c>
      <c r="F455" s="96">
        <v>90</v>
      </c>
      <c r="G455" s="96">
        <v>1</v>
      </c>
      <c r="J455" s="42"/>
      <c r="K455" s="37"/>
      <c r="L455" s="37"/>
      <c r="M455" s="44"/>
      <c r="N455" s="44"/>
      <c r="O455" s="44"/>
      <c r="P455" s="44"/>
      <c r="Q455" s="40"/>
    </row>
    <row r="456" spans="1:17">
      <c r="A456" s="39" t="s">
        <v>511</v>
      </c>
      <c r="B456" s="47" t="s">
        <v>550</v>
      </c>
      <c r="C456" s="39" t="s">
        <v>118</v>
      </c>
      <c r="D456" s="47" t="s">
        <v>549</v>
      </c>
      <c r="E456" s="92">
        <v>7484553</v>
      </c>
      <c r="F456" s="96">
        <v>40</v>
      </c>
      <c r="G456" s="96">
        <v>1</v>
      </c>
      <c r="J456" s="42"/>
      <c r="K456" s="37"/>
      <c r="L456" s="37"/>
      <c r="M456" s="44"/>
      <c r="N456" s="44"/>
      <c r="O456" s="44"/>
      <c r="P456" s="44"/>
      <c r="Q456" s="40"/>
    </row>
    <row r="457" spans="1:17">
      <c r="A457" s="39" t="s">
        <v>512</v>
      </c>
      <c r="B457" s="47" t="s">
        <v>550</v>
      </c>
      <c r="C457" s="39" t="s">
        <v>128</v>
      </c>
      <c r="D457" s="47" t="s">
        <v>549</v>
      </c>
      <c r="E457" s="92">
        <v>5208332</v>
      </c>
      <c r="F457" s="96">
        <v>50</v>
      </c>
      <c r="G457" s="96">
        <v>1</v>
      </c>
      <c r="J457" s="42"/>
      <c r="K457" s="37"/>
      <c r="L457" s="37"/>
      <c r="M457" s="44"/>
      <c r="N457" s="44"/>
      <c r="O457" s="44"/>
      <c r="P457" s="44"/>
      <c r="Q457" s="40"/>
    </row>
    <row r="458" spans="1:17">
      <c r="A458" s="39" t="s">
        <v>513</v>
      </c>
      <c r="B458" s="47" t="s">
        <v>548</v>
      </c>
      <c r="C458" s="39" t="s">
        <v>144</v>
      </c>
      <c r="D458" s="47" t="s">
        <v>549</v>
      </c>
      <c r="E458" s="92">
        <v>2616370</v>
      </c>
      <c r="F458" s="96">
        <v>31</v>
      </c>
      <c r="G458" s="96">
        <v>1</v>
      </c>
      <c r="J458" s="42"/>
      <c r="K458" s="37"/>
      <c r="L458" s="37"/>
      <c r="M458" s="44"/>
      <c r="N458" s="44"/>
      <c r="O458" s="44"/>
      <c r="P458" s="44"/>
      <c r="Q458" s="40"/>
    </row>
    <row r="459" spans="1:17">
      <c r="A459" s="39" t="s">
        <v>514</v>
      </c>
      <c r="B459" s="47" t="s">
        <v>548</v>
      </c>
      <c r="C459" s="39" t="s">
        <v>136</v>
      </c>
      <c r="D459" s="47" t="s">
        <v>549</v>
      </c>
      <c r="E459" s="92">
        <v>12324331</v>
      </c>
      <c r="F459" s="96">
        <v>78</v>
      </c>
      <c r="G459" s="96">
        <v>1</v>
      </c>
      <c r="J459" s="42"/>
      <c r="K459" s="37"/>
      <c r="L459" s="37"/>
      <c r="M459" s="44"/>
      <c r="N459" s="44"/>
      <c r="O459" s="44"/>
      <c r="P459" s="44"/>
      <c r="Q459" s="40"/>
    </row>
    <row r="460" spans="1:17">
      <c r="A460" s="39" t="s">
        <v>515</v>
      </c>
      <c r="B460" s="47" t="s">
        <v>548</v>
      </c>
      <c r="C460" s="39" t="s">
        <v>32</v>
      </c>
      <c r="D460" s="47" t="s">
        <v>549</v>
      </c>
      <c r="E460" s="92">
        <v>3873920</v>
      </c>
      <c r="F460" s="96">
        <v>26</v>
      </c>
      <c r="G460" s="96">
        <v>1</v>
      </c>
      <c r="J460" s="42"/>
      <c r="K460" s="37"/>
      <c r="L460" s="37"/>
      <c r="M460" s="44"/>
      <c r="N460" s="44"/>
      <c r="O460" s="44"/>
      <c r="P460" s="44"/>
      <c r="Q460" s="40"/>
    </row>
    <row r="461" spans="1:17">
      <c r="A461" s="39" t="s">
        <v>516</v>
      </c>
      <c r="B461" s="47" t="s">
        <v>548</v>
      </c>
      <c r="C461" s="39" t="s">
        <v>116</v>
      </c>
      <c r="D461" s="47" t="s">
        <v>549</v>
      </c>
      <c r="E461" s="92">
        <v>15705395</v>
      </c>
      <c r="F461" s="96">
        <v>71</v>
      </c>
      <c r="G461" s="96">
        <v>1</v>
      </c>
      <c r="J461" s="42"/>
      <c r="K461" s="37"/>
      <c r="L461" s="37"/>
      <c r="M461" s="44"/>
      <c r="N461" s="44"/>
      <c r="O461" s="44"/>
      <c r="P461" s="44"/>
      <c r="Q461" s="40"/>
    </row>
    <row r="462" spans="1:17">
      <c r="A462" s="39" t="s">
        <v>517</v>
      </c>
      <c r="B462" s="47" t="s">
        <v>550</v>
      </c>
      <c r="C462" s="39" t="s">
        <v>150</v>
      </c>
      <c r="D462" s="47" t="s">
        <v>547</v>
      </c>
      <c r="E462" s="92">
        <v>1462867</v>
      </c>
      <c r="F462" s="96">
        <v>25</v>
      </c>
      <c r="G462" s="96">
        <v>1</v>
      </c>
      <c r="J462" s="42"/>
      <c r="K462" s="37"/>
      <c r="L462" s="37"/>
      <c r="M462" s="44"/>
      <c r="N462" s="44"/>
      <c r="O462" s="44"/>
      <c r="P462" s="44"/>
      <c r="Q462" s="40"/>
    </row>
    <row r="463" spans="1:17">
      <c r="A463" s="39" t="s">
        <v>648</v>
      </c>
      <c r="B463" s="47" t="s">
        <v>550</v>
      </c>
      <c r="C463" s="39" t="s">
        <v>150</v>
      </c>
      <c r="D463" s="47" t="s">
        <v>547</v>
      </c>
      <c r="E463" s="92">
        <v>2509324</v>
      </c>
      <c r="F463" s="96">
        <v>50</v>
      </c>
      <c r="G463" s="96">
        <v>1</v>
      </c>
      <c r="J463" s="42"/>
      <c r="K463" s="37"/>
      <c r="L463" s="37"/>
      <c r="M463" s="44"/>
      <c r="N463" s="44"/>
      <c r="O463" s="44"/>
      <c r="P463" s="44"/>
      <c r="Q463" s="40"/>
    </row>
    <row r="464" spans="1:17">
      <c r="A464" s="39" t="s">
        <v>518</v>
      </c>
      <c r="B464" s="47" t="s">
        <v>548</v>
      </c>
      <c r="C464" s="39" t="s">
        <v>125</v>
      </c>
      <c r="D464" s="47" t="s">
        <v>547</v>
      </c>
      <c r="E464" s="92">
        <v>4614584</v>
      </c>
      <c r="F464" s="96">
        <v>97</v>
      </c>
      <c r="G464" s="96">
        <v>1</v>
      </c>
      <c r="J464" s="42"/>
      <c r="K464" s="37"/>
      <c r="L464" s="37"/>
      <c r="M464" s="44"/>
      <c r="N464" s="44"/>
      <c r="O464" s="44"/>
      <c r="P464" s="44"/>
      <c r="Q464" s="40"/>
    </row>
    <row r="465" spans="1:17">
      <c r="A465" s="39" t="s">
        <v>519</v>
      </c>
      <c r="B465" s="47" t="s">
        <v>548</v>
      </c>
      <c r="C465" s="39" t="s">
        <v>125</v>
      </c>
      <c r="D465" s="47" t="s">
        <v>547</v>
      </c>
      <c r="E465" s="92">
        <v>4439776</v>
      </c>
      <c r="F465" s="96">
        <v>60</v>
      </c>
      <c r="G465" s="96">
        <v>1</v>
      </c>
      <c r="J465" s="42"/>
      <c r="K465" s="37"/>
      <c r="L465" s="37"/>
      <c r="M465" s="44"/>
      <c r="N465" s="44"/>
      <c r="O465" s="44"/>
      <c r="P465" s="44"/>
      <c r="Q465" s="40"/>
    </row>
    <row r="466" spans="1:17">
      <c r="A466" s="39" t="s">
        <v>520</v>
      </c>
      <c r="B466" s="47" t="s">
        <v>550</v>
      </c>
      <c r="C466" s="39" t="s">
        <v>99</v>
      </c>
      <c r="D466" s="47" t="s">
        <v>547</v>
      </c>
      <c r="E466" s="92">
        <v>6296108</v>
      </c>
      <c r="F466" s="96">
        <v>100</v>
      </c>
      <c r="G466" s="96">
        <v>1</v>
      </c>
      <c r="J466" s="42"/>
      <c r="K466" s="37"/>
      <c r="L466" s="37"/>
      <c r="M466" s="44"/>
      <c r="N466" s="44"/>
      <c r="O466" s="44"/>
      <c r="P466" s="44"/>
      <c r="Q466" s="40"/>
    </row>
    <row r="467" spans="1:17">
      <c r="A467" s="39" t="s">
        <v>521</v>
      </c>
      <c r="B467" s="47" t="s">
        <v>550</v>
      </c>
      <c r="C467" s="39" t="s">
        <v>99</v>
      </c>
      <c r="D467" s="47" t="s">
        <v>547</v>
      </c>
      <c r="E467" s="92">
        <v>7620987</v>
      </c>
      <c r="F467" s="96">
        <v>80</v>
      </c>
      <c r="G467" s="96">
        <v>1</v>
      </c>
      <c r="J467" s="42"/>
      <c r="K467" s="37"/>
      <c r="L467" s="37"/>
      <c r="M467" s="44"/>
      <c r="N467" s="44"/>
      <c r="O467" s="44"/>
      <c r="P467" s="44"/>
      <c r="Q467" s="40"/>
    </row>
    <row r="468" spans="1:17">
      <c r="A468" s="39" t="s">
        <v>522</v>
      </c>
      <c r="B468" s="47" t="s">
        <v>550</v>
      </c>
      <c r="C468" s="39" t="s">
        <v>158</v>
      </c>
      <c r="D468" s="47" t="s">
        <v>547</v>
      </c>
      <c r="E468" s="92">
        <v>3363534</v>
      </c>
      <c r="F468" s="96">
        <v>40</v>
      </c>
      <c r="G468" s="96">
        <v>1</v>
      </c>
      <c r="J468" s="42"/>
      <c r="K468" s="37"/>
      <c r="L468" s="37"/>
      <c r="M468" s="44"/>
      <c r="N468" s="44"/>
      <c r="O468" s="44"/>
      <c r="P468" s="44"/>
      <c r="Q468" s="40"/>
    </row>
    <row r="469" spans="1:17">
      <c r="A469" s="39" t="s">
        <v>523</v>
      </c>
      <c r="B469" s="47" t="s">
        <v>550</v>
      </c>
      <c r="C469" s="39" t="s">
        <v>158</v>
      </c>
      <c r="D469" s="47" t="s">
        <v>547</v>
      </c>
      <c r="E469" s="92">
        <v>2838949</v>
      </c>
      <c r="F469" s="96">
        <v>40</v>
      </c>
      <c r="G469" s="96">
        <v>1</v>
      </c>
      <c r="J469" s="42"/>
      <c r="K469" s="37"/>
      <c r="L469" s="37"/>
      <c r="M469" s="44"/>
      <c r="N469" s="44"/>
      <c r="O469" s="44"/>
      <c r="P469" s="44"/>
      <c r="Q469" s="40"/>
    </row>
    <row r="470" spans="1:17">
      <c r="A470" s="39" t="s">
        <v>649</v>
      </c>
      <c r="B470" s="47" t="s">
        <v>550</v>
      </c>
      <c r="C470" s="39" t="s">
        <v>158</v>
      </c>
      <c r="D470" s="47" t="s">
        <v>547</v>
      </c>
      <c r="E470" s="92">
        <v>1105314</v>
      </c>
      <c r="F470" s="96">
        <v>24</v>
      </c>
      <c r="G470" s="96">
        <v>1</v>
      </c>
      <c r="J470" s="42"/>
      <c r="K470" s="37"/>
      <c r="L470" s="37"/>
      <c r="M470" s="44"/>
      <c r="N470" s="44"/>
      <c r="O470" s="44"/>
      <c r="P470" s="44"/>
      <c r="Q470" s="40"/>
    </row>
    <row r="471" spans="1:17">
      <c r="A471" s="39" t="s">
        <v>524</v>
      </c>
      <c r="B471" s="47" t="s">
        <v>548</v>
      </c>
      <c r="C471" s="39" t="s">
        <v>103</v>
      </c>
      <c r="D471" s="47" t="s">
        <v>549</v>
      </c>
      <c r="E471" s="92">
        <v>19184364</v>
      </c>
      <c r="F471" s="96">
        <v>76</v>
      </c>
      <c r="G471" s="96">
        <v>1</v>
      </c>
      <c r="J471" s="42"/>
      <c r="K471" s="37"/>
      <c r="L471" s="37"/>
      <c r="M471" s="44"/>
      <c r="N471" s="44"/>
      <c r="O471" s="44"/>
      <c r="P471" s="44"/>
      <c r="Q471" s="40"/>
    </row>
    <row r="472" spans="1:17">
      <c r="A472" s="39" t="s">
        <v>525</v>
      </c>
      <c r="B472" s="47" t="s">
        <v>548</v>
      </c>
      <c r="C472" s="39" t="s">
        <v>137</v>
      </c>
      <c r="D472" s="47" t="s">
        <v>549</v>
      </c>
      <c r="E472" s="92">
        <v>11141766</v>
      </c>
      <c r="F472" s="96">
        <v>70</v>
      </c>
      <c r="G472" s="96">
        <v>1</v>
      </c>
      <c r="J472" s="42"/>
      <c r="K472" s="37"/>
      <c r="L472" s="37"/>
      <c r="M472" s="44"/>
      <c r="N472" s="44"/>
      <c r="O472" s="44"/>
      <c r="P472" s="44"/>
      <c r="Q472" s="40"/>
    </row>
    <row r="473" spans="1:17">
      <c r="A473" s="39" t="s">
        <v>650</v>
      </c>
      <c r="B473" s="47" t="s">
        <v>548</v>
      </c>
      <c r="C473" s="39" t="s">
        <v>97</v>
      </c>
      <c r="D473" s="47" t="s">
        <v>547</v>
      </c>
      <c r="E473" s="92">
        <v>8073835</v>
      </c>
      <c r="F473" s="96">
        <v>102</v>
      </c>
      <c r="G473" s="96">
        <v>1</v>
      </c>
      <c r="J473" s="42"/>
      <c r="K473" s="37"/>
      <c r="L473" s="37"/>
      <c r="M473" s="44"/>
      <c r="N473" s="44"/>
      <c r="O473" s="44"/>
      <c r="P473" s="44"/>
      <c r="Q473" s="40"/>
    </row>
    <row r="474" spans="1:17">
      <c r="A474" s="39" t="s">
        <v>526</v>
      </c>
      <c r="B474" s="47" t="s">
        <v>550</v>
      </c>
      <c r="C474" s="39" t="s">
        <v>117</v>
      </c>
      <c r="D474" s="47" t="s">
        <v>549</v>
      </c>
      <c r="E474" s="92">
        <v>8641836</v>
      </c>
      <c r="F474" s="96">
        <v>81</v>
      </c>
      <c r="G474" s="96">
        <v>1</v>
      </c>
      <c r="J474" s="42"/>
      <c r="K474" s="37"/>
      <c r="L474" s="37"/>
      <c r="M474" s="44"/>
      <c r="N474" s="44"/>
      <c r="O474" s="44"/>
      <c r="P474" s="44"/>
      <c r="Q474" s="40"/>
    </row>
    <row r="475" spans="1:17">
      <c r="A475" s="39" t="s">
        <v>651</v>
      </c>
      <c r="B475" s="47" t="s">
        <v>548</v>
      </c>
      <c r="C475" s="39" t="s">
        <v>136</v>
      </c>
      <c r="D475" s="47" t="s">
        <v>547</v>
      </c>
      <c r="E475" s="92">
        <v>5017412</v>
      </c>
      <c r="F475" s="96">
        <v>67</v>
      </c>
      <c r="G475" s="96">
        <v>1</v>
      </c>
      <c r="J475" s="42"/>
      <c r="K475" s="37"/>
      <c r="L475" s="37"/>
      <c r="M475" s="44"/>
      <c r="N475" s="44"/>
      <c r="O475" s="44"/>
      <c r="P475" s="44"/>
      <c r="Q475" s="40"/>
    </row>
    <row r="476" spans="1:17">
      <c r="A476" s="39" t="s">
        <v>527</v>
      </c>
      <c r="B476" s="47" t="s">
        <v>548</v>
      </c>
      <c r="C476" s="39" t="s">
        <v>154</v>
      </c>
      <c r="D476" s="47" t="s">
        <v>549</v>
      </c>
      <c r="E476" s="92">
        <v>16284827</v>
      </c>
      <c r="F476" s="96">
        <v>80</v>
      </c>
      <c r="G476" s="96">
        <v>1</v>
      </c>
      <c r="J476" s="42"/>
      <c r="K476" s="37"/>
      <c r="L476" s="37"/>
      <c r="M476" s="44"/>
      <c r="N476" s="44"/>
      <c r="O476" s="44"/>
      <c r="P476" s="44"/>
      <c r="Q476" s="40"/>
    </row>
    <row r="477" spans="1:17">
      <c r="A477" s="39" t="s">
        <v>652</v>
      </c>
      <c r="B477" s="47" t="s">
        <v>548</v>
      </c>
      <c r="C477" s="39" t="s">
        <v>154</v>
      </c>
      <c r="D477" s="47" t="s">
        <v>547</v>
      </c>
      <c r="E477" s="92">
        <v>2860782</v>
      </c>
      <c r="F477" s="96">
        <v>60</v>
      </c>
      <c r="G477" s="96">
        <v>1</v>
      </c>
      <c r="J477" s="42"/>
      <c r="K477" s="37"/>
      <c r="L477" s="37"/>
      <c r="M477" s="44"/>
      <c r="N477" s="44"/>
      <c r="O477" s="44"/>
      <c r="P477" s="44"/>
      <c r="Q477" s="40"/>
    </row>
    <row r="478" spans="1:17">
      <c r="A478" s="39" t="s">
        <v>653</v>
      </c>
      <c r="B478" s="47" t="s">
        <v>548</v>
      </c>
      <c r="C478" s="39" t="s">
        <v>97</v>
      </c>
      <c r="D478" s="47" t="s">
        <v>547</v>
      </c>
      <c r="E478" s="92">
        <v>1298530</v>
      </c>
      <c r="F478" s="96">
        <v>31</v>
      </c>
      <c r="G478" s="96">
        <v>1</v>
      </c>
      <c r="J478" s="42"/>
      <c r="K478" s="37"/>
      <c r="L478" s="37"/>
      <c r="M478" s="44"/>
      <c r="N478" s="44"/>
      <c r="O478" s="44"/>
      <c r="P478" s="44"/>
      <c r="Q478" s="40"/>
    </row>
    <row r="479" spans="1:17">
      <c r="A479" s="39" t="s">
        <v>528</v>
      </c>
      <c r="B479" s="47" t="s">
        <v>550</v>
      </c>
      <c r="C479" s="39" t="s">
        <v>121</v>
      </c>
      <c r="D479" s="47" t="s">
        <v>547</v>
      </c>
      <c r="E479" s="92">
        <v>2243944</v>
      </c>
      <c r="F479" s="96">
        <v>34</v>
      </c>
      <c r="G479" s="96">
        <v>1</v>
      </c>
      <c r="J479" s="42"/>
      <c r="K479" s="37"/>
      <c r="L479" s="37"/>
      <c r="M479" s="44"/>
      <c r="N479" s="44"/>
      <c r="O479" s="44"/>
      <c r="P479" s="44"/>
      <c r="Q479" s="40"/>
    </row>
    <row r="480" spans="1:17">
      <c r="A480" s="39" t="s">
        <v>529</v>
      </c>
      <c r="B480" s="47" t="s">
        <v>548</v>
      </c>
      <c r="C480" s="39" t="s">
        <v>133</v>
      </c>
      <c r="D480" s="47" t="s">
        <v>549</v>
      </c>
      <c r="E480" s="92">
        <v>17658113</v>
      </c>
      <c r="F480" s="96">
        <v>90</v>
      </c>
      <c r="G480" s="96">
        <v>1</v>
      </c>
      <c r="J480" s="42"/>
      <c r="K480" s="37"/>
      <c r="L480" s="37"/>
      <c r="M480" s="44"/>
      <c r="N480" s="44"/>
      <c r="O480" s="44"/>
      <c r="P480" s="44"/>
      <c r="Q480" s="40"/>
    </row>
    <row r="481" spans="1:17">
      <c r="A481" s="39" t="s">
        <v>530</v>
      </c>
      <c r="B481" s="47" t="s">
        <v>548</v>
      </c>
      <c r="C481" s="39" t="s">
        <v>103</v>
      </c>
      <c r="D481" s="47" t="s">
        <v>549</v>
      </c>
      <c r="E481" s="92">
        <v>16115119</v>
      </c>
      <c r="F481" s="96">
        <v>78</v>
      </c>
      <c r="G481" s="96">
        <v>1</v>
      </c>
      <c r="J481" s="42"/>
      <c r="K481" s="37"/>
      <c r="L481" s="37"/>
      <c r="M481" s="44"/>
      <c r="N481" s="44"/>
      <c r="O481" s="44"/>
      <c r="P481" s="44"/>
      <c r="Q481" s="40"/>
    </row>
    <row r="482" spans="1:17">
      <c r="A482" s="39" t="s">
        <v>531</v>
      </c>
      <c r="B482" s="47" t="s">
        <v>548</v>
      </c>
      <c r="C482" s="39" t="s">
        <v>140</v>
      </c>
      <c r="D482" s="47" t="s">
        <v>549</v>
      </c>
      <c r="E482" s="92">
        <v>4548360</v>
      </c>
      <c r="F482" s="96">
        <v>40</v>
      </c>
      <c r="G482" s="96">
        <v>1</v>
      </c>
      <c r="J482" s="42"/>
      <c r="K482" s="37"/>
      <c r="L482" s="37"/>
      <c r="M482" s="44"/>
      <c r="N482" s="44"/>
      <c r="O482" s="44"/>
      <c r="P482" s="44"/>
      <c r="Q482" s="40"/>
    </row>
    <row r="483" spans="1:17">
      <c r="A483" s="39" t="s">
        <v>532</v>
      </c>
      <c r="B483" s="47" t="s">
        <v>548</v>
      </c>
      <c r="C483" s="39" t="s">
        <v>122</v>
      </c>
      <c r="D483" s="47" t="s">
        <v>549</v>
      </c>
      <c r="E483" s="92">
        <v>6013692</v>
      </c>
      <c r="F483" s="96">
        <v>40</v>
      </c>
      <c r="G483" s="96">
        <v>1</v>
      </c>
      <c r="J483" s="42"/>
      <c r="K483" s="37"/>
      <c r="L483" s="37"/>
      <c r="M483" s="44"/>
      <c r="N483" s="44"/>
      <c r="O483" s="44"/>
      <c r="P483" s="44"/>
      <c r="Q483" s="40"/>
    </row>
    <row r="484" spans="1:17">
      <c r="A484" s="39" t="s">
        <v>533</v>
      </c>
      <c r="B484" s="47" t="s">
        <v>548</v>
      </c>
      <c r="C484" s="39" t="s">
        <v>154</v>
      </c>
      <c r="D484" s="47" t="s">
        <v>549</v>
      </c>
      <c r="E484" s="92">
        <v>11010877</v>
      </c>
      <c r="F484" s="96">
        <v>70</v>
      </c>
      <c r="G484" s="96">
        <v>1</v>
      </c>
      <c r="J484" s="42"/>
      <c r="K484" s="37"/>
      <c r="L484" s="37"/>
      <c r="M484" s="44"/>
      <c r="N484" s="44"/>
      <c r="O484" s="44"/>
      <c r="P484" s="44"/>
      <c r="Q484" s="40"/>
    </row>
    <row r="485" spans="1:17">
      <c r="A485" s="39" t="s">
        <v>534</v>
      </c>
      <c r="B485" s="47" t="s">
        <v>550</v>
      </c>
      <c r="C485" s="39" t="s">
        <v>158</v>
      </c>
      <c r="D485" s="47" t="s">
        <v>549</v>
      </c>
      <c r="E485" s="92">
        <v>3875826</v>
      </c>
      <c r="F485" s="96">
        <v>34</v>
      </c>
      <c r="G485" s="96">
        <v>1</v>
      </c>
      <c r="J485" s="42"/>
      <c r="K485" s="37"/>
      <c r="L485" s="37"/>
      <c r="M485" s="44"/>
      <c r="N485" s="44"/>
      <c r="O485" s="44"/>
      <c r="P485" s="44"/>
      <c r="Q485" s="40"/>
    </row>
    <row r="486" spans="1:17">
      <c r="A486" s="39" t="s">
        <v>535</v>
      </c>
      <c r="B486" s="47" t="s">
        <v>548</v>
      </c>
      <c r="C486" s="39" t="s">
        <v>136</v>
      </c>
      <c r="D486" s="47" t="s">
        <v>549</v>
      </c>
      <c r="E486" s="92">
        <v>4746899</v>
      </c>
      <c r="F486" s="96">
        <v>40</v>
      </c>
      <c r="G486" s="96">
        <v>1</v>
      </c>
      <c r="J486" s="42"/>
      <c r="K486" s="37"/>
      <c r="L486" s="37"/>
      <c r="M486" s="44"/>
      <c r="N486" s="44"/>
      <c r="O486" s="44"/>
      <c r="P486" s="44"/>
      <c r="Q486" s="40"/>
    </row>
    <row r="487" spans="1:17">
      <c r="A487" s="39" t="s">
        <v>536</v>
      </c>
      <c r="B487" s="47" t="s">
        <v>548</v>
      </c>
      <c r="C487" s="39" t="s">
        <v>153</v>
      </c>
      <c r="D487" s="47" t="s">
        <v>547</v>
      </c>
      <c r="E487" s="92">
        <v>4565714</v>
      </c>
      <c r="F487" s="96">
        <v>50</v>
      </c>
      <c r="G487" s="96">
        <v>1</v>
      </c>
      <c r="J487" s="42"/>
      <c r="K487" s="37"/>
      <c r="L487" s="37"/>
      <c r="M487" s="44"/>
      <c r="N487" s="44"/>
      <c r="O487" s="44"/>
      <c r="P487" s="44"/>
      <c r="Q487" s="40"/>
    </row>
    <row r="488" spans="1:17">
      <c r="A488" s="39" t="s">
        <v>537</v>
      </c>
      <c r="B488" s="47" t="s">
        <v>550</v>
      </c>
      <c r="C488" s="39" t="s">
        <v>115</v>
      </c>
      <c r="D488" s="47" t="s">
        <v>549</v>
      </c>
      <c r="E488" s="92">
        <v>7213768</v>
      </c>
      <c r="F488" s="96">
        <v>40</v>
      </c>
      <c r="G488" s="96">
        <v>1</v>
      </c>
      <c r="J488" s="42"/>
      <c r="K488" s="37"/>
      <c r="L488" s="37"/>
      <c r="M488" s="44"/>
      <c r="N488" s="44"/>
      <c r="O488" s="44"/>
      <c r="P488" s="44"/>
      <c r="Q488" s="40"/>
    </row>
    <row r="489" spans="1:17">
      <c r="A489" s="39" t="s">
        <v>538</v>
      </c>
      <c r="B489" s="47" t="s">
        <v>550</v>
      </c>
      <c r="C489" s="39" t="s">
        <v>98</v>
      </c>
      <c r="D489" s="47" t="s">
        <v>547</v>
      </c>
      <c r="E489" s="92">
        <v>6683859</v>
      </c>
      <c r="F489" s="96">
        <v>68</v>
      </c>
      <c r="G489" s="96">
        <v>1</v>
      </c>
      <c r="J489" s="42"/>
      <c r="K489" s="37"/>
      <c r="L489" s="37"/>
      <c r="M489" s="44"/>
      <c r="N489" s="44"/>
      <c r="O489" s="44"/>
      <c r="P489" s="44"/>
      <c r="Q489" s="40"/>
    </row>
    <row r="490" spans="1:17">
      <c r="A490" s="39" t="s">
        <v>539</v>
      </c>
      <c r="B490" s="47" t="s">
        <v>550</v>
      </c>
      <c r="C490" s="39" t="s">
        <v>98</v>
      </c>
      <c r="D490" s="47" t="s">
        <v>547</v>
      </c>
      <c r="E490" s="92">
        <v>561825</v>
      </c>
      <c r="F490" s="96">
        <v>15</v>
      </c>
      <c r="G490" s="96">
        <v>1</v>
      </c>
      <c r="J490" s="42"/>
      <c r="K490" s="37"/>
      <c r="L490" s="37"/>
      <c r="M490" s="44"/>
      <c r="N490" s="44"/>
      <c r="O490" s="44"/>
      <c r="P490" s="44"/>
      <c r="Q490" s="40"/>
    </row>
    <row r="491" spans="1:17">
      <c r="A491" s="39" t="s">
        <v>540</v>
      </c>
      <c r="B491" s="47" t="s">
        <v>550</v>
      </c>
      <c r="C491" s="39" t="s">
        <v>98</v>
      </c>
      <c r="D491" s="47" t="s">
        <v>547</v>
      </c>
      <c r="E491" s="92">
        <v>4226672</v>
      </c>
      <c r="F491" s="96">
        <v>55</v>
      </c>
      <c r="G491" s="96">
        <v>1</v>
      </c>
      <c r="J491" s="42"/>
      <c r="K491" s="37"/>
      <c r="L491" s="37"/>
      <c r="M491" s="44"/>
      <c r="N491" s="44"/>
      <c r="O491" s="44"/>
      <c r="P491" s="44"/>
      <c r="Q491" s="40"/>
    </row>
    <row r="492" spans="1:17">
      <c r="A492" s="39" t="s">
        <v>541</v>
      </c>
      <c r="B492" s="47" t="s">
        <v>548</v>
      </c>
      <c r="C492" s="39" t="s">
        <v>129</v>
      </c>
      <c r="D492" s="47" t="s">
        <v>547</v>
      </c>
      <c r="E492" s="92" t="s">
        <v>656</v>
      </c>
      <c r="F492" s="96">
        <v>0</v>
      </c>
      <c r="G492" s="96">
        <v>1</v>
      </c>
      <c r="J492" s="42"/>
      <c r="K492" s="37"/>
      <c r="L492" s="37"/>
      <c r="M492" s="44"/>
      <c r="N492" s="44"/>
      <c r="O492" s="44"/>
      <c r="P492" s="44"/>
      <c r="Q492" s="40"/>
    </row>
    <row r="493" spans="1:17">
      <c r="A493" s="39" t="s">
        <v>543</v>
      </c>
      <c r="B493" s="47" t="s">
        <v>548</v>
      </c>
      <c r="C493" s="39" t="s">
        <v>130</v>
      </c>
      <c r="D493" s="47" t="s">
        <v>547</v>
      </c>
      <c r="E493" s="92">
        <v>7713801</v>
      </c>
      <c r="F493" s="96">
        <v>103</v>
      </c>
      <c r="G493" s="96">
        <v>1</v>
      </c>
      <c r="J493" s="42"/>
      <c r="K493" s="37"/>
      <c r="L493" s="37"/>
      <c r="M493" s="44"/>
      <c r="N493" s="44"/>
      <c r="O493" s="44"/>
      <c r="P493" s="44"/>
      <c r="Q493" s="40"/>
    </row>
    <row r="494" spans="1:17">
      <c r="A494" s="39" t="s">
        <v>544</v>
      </c>
      <c r="B494" s="47" t="s">
        <v>548</v>
      </c>
      <c r="C494" s="39" t="s">
        <v>130</v>
      </c>
      <c r="D494" s="47" t="s">
        <v>547</v>
      </c>
      <c r="E494" s="92">
        <v>13837440</v>
      </c>
      <c r="F494" s="96">
        <v>76</v>
      </c>
      <c r="G494" s="96">
        <v>1</v>
      </c>
      <c r="J494" s="42"/>
      <c r="K494" s="37"/>
      <c r="L494" s="37"/>
      <c r="M494" s="44"/>
      <c r="N494" s="44"/>
      <c r="O494" s="44"/>
      <c r="P494" s="44"/>
      <c r="Q494" s="40"/>
    </row>
    <row r="495" spans="1:17">
      <c r="A495" s="39" t="s">
        <v>542</v>
      </c>
      <c r="B495" s="47" t="s">
        <v>548</v>
      </c>
      <c r="C495" s="39" t="s">
        <v>130</v>
      </c>
      <c r="D495" s="47" t="s">
        <v>547</v>
      </c>
      <c r="E495" s="92">
        <v>1915858</v>
      </c>
      <c r="F495" s="96">
        <v>29</v>
      </c>
      <c r="G495" s="96">
        <v>1</v>
      </c>
      <c r="J495" s="42"/>
      <c r="K495" s="37"/>
      <c r="L495" s="37"/>
      <c r="M495" s="44"/>
      <c r="N495" s="44"/>
      <c r="O495" s="44"/>
      <c r="P495" s="44"/>
      <c r="Q495" s="40"/>
    </row>
    <row r="496" spans="1:17">
      <c r="A496" s="39" t="s">
        <v>545</v>
      </c>
      <c r="B496" s="47" t="s">
        <v>548</v>
      </c>
      <c r="C496" s="39" t="s">
        <v>156</v>
      </c>
      <c r="D496" s="47" t="s">
        <v>549</v>
      </c>
      <c r="E496" s="92">
        <v>5755788</v>
      </c>
      <c r="F496" s="96">
        <v>70</v>
      </c>
      <c r="G496" s="96">
        <v>1</v>
      </c>
      <c r="J496" s="42"/>
      <c r="K496" s="37"/>
      <c r="L496" s="37"/>
      <c r="M496" s="44"/>
      <c r="N496" s="44"/>
      <c r="O496" s="44"/>
      <c r="P496" s="44"/>
      <c r="Q496" s="40"/>
    </row>
    <row r="497" spans="1:17">
      <c r="A497" s="39" t="s">
        <v>546</v>
      </c>
      <c r="B497" s="47" t="s">
        <v>548</v>
      </c>
      <c r="C497" s="39" t="s">
        <v>112</v>
      </c>
      <c r="D497" s="47" t="s">
        <v>549</v>
      </c>
      <c r="E497" s="92">
        <v>11917232</v>
      </c>
      <c r="F497" s="96">
        <v>100</v>
      </c>
      <c r="G497" s="96">
        <v>1</v>
      </c>
      <c r="J497" s="42"/>
      <c r="K497" s="37"/>
      <c r="L497" s="37"/>
      <c r="M497" s="44"/>
      <c r="N497" s="44"/>
      <c r="O497" s="44"/>
      <c r="P497" s="44"/>
      <c r="Q497" s="40"/>
    </row>
    <row r="498" spans="1:17">
      <c r="E498"/>
      <c r="F498"/>
      <c r="G498"/>
      <c r="J498" s="42"/>
      <c r="K498" s="37"/>
      <c r="L498" s="37"/>
      <c r="M498" s="44"/>
      <c r="N498" s="44"/>
      <c r="O498" s="44"/>
      <c r="P498" s="44"/>
      <c r="Q498" s="40"/>
    </row>
    <row r="499" spans="1:17">
      <c r="E499"/>
      <c r="F499"/>
      <c r="G499"/>
      <c r="J499" s="42"/>
      <c r="K499" s="37"/>
      <c r="L499" s="37"/>
      <c r="M499" s="44"/>
      <c r="N499" s="44"/>
      <c r="O499" s="44"/>
      <c r="P499" s="44"/>
      <c r="Q499" s="40"/>
    </row>
    <row r="500" spans="1:17">
      <c r="E500"/>
      <c r="F500"/>
      <c r="G500"/>
      <c r="J500" s="42"/>
      <c r="K500" s="37"/>
      <c r="L500" s="37"/>
      <c r="M500" s="44"/>
      <c r="N500" s="44"/>
      <c r="O500" s="44"/>
      <c r="P500" s="44"/>
      <c r="Q500" s="40"/>
    </row>
    <row r="501" spans="1:17">
      <c r="E501"/>
      <c r="F501"/>
      <c r="G501"/>
      <c r="J501" s="42"/>
      <c r="K501" s="37"/>
      <c r="L501" s="37"/>
      <c r="M501" s="44"/>
      <c r="N501" s="44"/>
      <c r="O501" s="44"/>
      <c r="P501" s="44"/>
      <c r="Q501" s="40"/>
    </row>
    <row r="502" spans="1:17">
      <c r="E502"/>
      <c r="F502"/>
      <c r="G502"/>
      <c r="J502" s="42"/>
      <c r="K502" s="37"/>
      <c r="L502" s="37"/>
      <c r="M502" s="44"/>
      <c r="N502" s="44"/>
      <c r="O502" s="44"/>
      <c r="P502" s="44"/>
      <c r="Q502" s="40"/>
    </row>
    <row r="503" spans="1:17">
      <c r="E503"/>
      <c r="F503"/>
      <c r="G503"/>
      <c r="J503" s="42"/>
      <c r="K503" s="37"/>
      <c r="L503" s="37"/>
      <c r="M503" s="44"/>
      <c r="N503" s="44"/>
      <c r="O503" s="44"/>
      <c r="P503" s="44"/>
      <c r="Q503" s="40"/>
    </row>
    <row r="504" spans="1:17">
      <c r="E504"/>
      <c r="F504"/>
      <c r="G504"/>
      <c r="J504" s="42"/>
      <c r="K504" s="37"/>
      <c r="L504" s="37"/>
      <c r="M504" s="44"/>
      <c r="N504" s="44"/>
      <c r="O504" s="44"/>
      <c r="P504" s="44"/>
      <c r="Q504" s="40"/>
    </row>
    <row r="505" spans="1:17">
      <c r="E505"/>
      <c r="F505"/>
      <c r="G505"/>
      <c r="J505" s="42"/>
      <c r="K505" s="37"/>
      <c r="L505" s="37"/>
      <c r="M505" s="44"/>
      <c r="N505" s="44"/>
      <c r="O505" s="44"/>
      <c r="P505" s="44"/>
      <c r="Q505" s="40"/>
    </row>
    <row r="506" spans="1:17">
      <c r="E506"/>
      <c r="F506"/>
      <c r="G506"/>
      <c r="J506" s="42"/>
      <c r="K506" s="37"/>
      <c r="L506" s="37"/>
      <c r="M506" s="44"/>
      <c r="N506" s="44"/>
      <c r="O506" s="44"/>
      <c r="P506" s="44"/>
      <c r="Q506" s="40"/>
    </row>
    <row r="507" spans="1:17">
      <c r="E507"/>
      <c r="F507"/>
      <c r="G507"/>
      <c r="J507" s="42"/>
      <c r="K507" s="37"/>
      <c r="L507" s="37"/>
      <c r="M507" s="44"/>
      <c r="N507" s="44"/>
      <c r="O507" s="44"/>
      <c r="P507" s="44"/>
      <c r="Q507" s="40"/>
    </row>
    <row r="508" spans="1:17">
      <c r="E508"/>
      <c r="F508"/>
      <c r="G508"/>
      <c r="J508" s="42"/>
      <c r="K508" s="37"/>
      <c r="L508" s="37"/>
      <c r="M508" s="44"/>
      <c r="N508" s="44"/>
      <c r="O508" s="44"/>
      <c r="P508" s="44"/>
      <c r="Q508" s="40"/>
    </row>
    <row r="509" spans="1:17">
      <c r="E509"/>
      <c r="F509"/>
      <c r="G509"/>
      <c r="J509" s="42"/>
      <c r="K509" s="37"/>
      <c r="L509" s="37"/>
      <c r="M509" s="44"/>
      <c r="N509" s="44"/>
      <c r="O509" s="44"/>
      <c r="P509" s="44"/>
      <c r="Q509" s="40"/>
    </row>
    <row r="510" spans="1:17">
      <c r="E510"/>
      <c r="F510"/>
      <c r="G510"/>
      <c r="J510" s="42"/>
      <c r="K510" s="37"/>
      <c r="L510" s="37"/>
      <c r="M510" s="44"/>
      <c r="N510" s="44"/>
      <c r="O510" s="44"/>
      <c r="P510" s="44"/>
      <c r="Q510" s="40"/>
    </row>
    <row r="511" spans="1:17">
      <c r="E511"/>
      <c r="F511"/>
      <c r="G511"/>
      <c r="J511" s="42"/>
      <c r="K511" s="37"/>
      <c r="L511" s="37"/>
      <c r="M511" s="44"/>
      <c r="N511" s="44"/>
      <c r="O511" s="44"/>
      <c r="P511" s="44"/>
      <c r="Q511" s="40"/>
    </row>
    <row r="512" spans="1:17">
      <c r="E512"/>
      <c r="F512"/>
      <c r="G512"/>
      <c r="J512" s="42"/>
      <c r="K512" s="37"/>
      <c r="L512" s="37"/>
      <c r="M512" s="44"/>
      <c r="N512" s="44"/>
      <c r="O512" s="44"/>
      <c r="P512" s="44"/>
      <c r="Q512" s="40"/>
    </row>
    <row r="513" spans="1:17">
      <c r="E513"/>
      <c r="F513"/>
      <c r="G513"/>
      <c r="J513" s="42"/>
      <c r="K513" s="44"/>
      <c r="L513" s="44"/>
      <c r="M513" s="44"/>
      <c r="N513" s="44"/>
      <c r="O513" s="44"/>
      <c r="P513" s="44"/>
      <c r="Q513" s="40"/>
    </row>
    <row r="514" spans="1:17">
      <c r="A514" s="48"/>
      <c r="B514" s="49"/>
      <c r="C514" s="48"/>
      <c r="D514" s="49"/>
      <c r="E514" s="90"/>
      <c r="H514" s="42"/>
      <c r="I514" s="42"/>
      <c r="J514" s="42"/>
      <c r="K514" s="44"/>
      <c r="L514" s="44"/>
      <c r="M514" s="44"/>
      <c r="N514" s="44"/>
      <c r="O514" s="44"/>
      <c r="P514" s="44"/>
      <c r="Q514" s="40"/>
    </row>
  </sheetData>
  <sheetProtection sheet="1" objects="1" scenarios="1"/>
  <mergeCells count="1">
    <mergeCell ref="J1:Q1"/>
  </mergeCells>
  <pageMargins left="0.7" right="0.7" top="0.75" bottom="0.75" header="0.3" footer="0.3"/>
  <pageSetup paperSize="9" orientation="portrait"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A12260377</value>
    </field>
    <field name="Objective-Title">
      <value order="0">EGM Gambling Data 2025 - interactive file all municipalities</value>
    </field>
    <field name="Objective-Description">
      <value order="0"/>
    </field>
    <field name="Objective-CreationStamp">
      <value order="0">2025-08-04T04:31:27Z</value>
    </field>
    <field name="Objective-IsApproved">
      <value order="0">false</value>
    </field>
    <field name="Objective-IsPublished">
      <value order="0">true</value>
    </field>
    <field name="Objective-DatePublished">
      <value order="0">2025-10-20T07:50:39Z</value>
    </field>
    <field name="Objective-ModificationStamp">
      <value order="0">2025-10-20T07:50:39Z</value>
    </field>
    <field name="Objective-Owner">
      <value order="0">Peter Johnstone</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vA15764053</value>
    </field>
    <field name="Objective-Version">
      <value order="0">2.0</value>
    </field>
    <field name="Objective-VersionNumber">
      <value order="0">2</value>
    </field>
    <field name="Objective-VersionComment">
      <value order="0">Updated statistics on gambling</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Indicators</vt:lpstr>
      <vt:lpstr>Comparison</vt:lpstr>
      <vt:lpstr>Venue Data</vt:lpstr>
      <vt:lpstr>Data</vt:lpstr>
      <vt:lpstr>Summing by LGA from Venue Data</vt:lpstr>
      <vt:lpstr>Comparison!Print_Area</vt:lpstr>
      <vt:lpstr>Data!Print_Area</vt:lpstr>
      <vt:lpstr>Indicators!Print_Area</vt:lpstr>
      <vt:lpstr>'Venue Data'!Print_Area</vt:lpstr>
      <vt:lpstr>'Venue Data'!Print_Titles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2025-08-03T09:45:17Z</cp:lastPrinted>
  <dcterms:created xsi:type="dcterms:W3CDTF">2008-07-29T05:19:45Z</dcterms:created>
  <dcterms:modified xsi:type="dcterms:W3CDTF">2025-10-20T06:50:09Z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A12260377</vt:lpwstr>
  </property>
  <property fmtid="{D5CDD505-2E9C-101B-9397-08002B2CF9AE}" pid="4" name="Objective-Title">
    <vt:lpwstr>EGM Gambling Data 2025 - interactive file all municipalities</vt:lpwstr>
  </property>
  <property fmtid="{D5CDD505-2E9C-101B-9397-08002B2CF9AE}" pid="5" name="Objective-Description">
    <vt:lpwstr/>
  </property>
  <property fmtid="{D5CDD505-2E9C-101B-9397-08002B2CF9AE}" pid="6" name="Objective-CreationStamp">
    <vt:filetime>2025-08-04T04:31:27Z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2025-10-20T07:50:39Z</vt:filetime>
  </property>
  <property fmtid="{D5CDD505-2E9C-101B-9397-08002B2CF9AE}" pid="10" name="Objective-ModificationStamp">
    <vt:filetime>2025-10-20T07:50:39Z</vt:filetime>
  </property>
  <property fmtid="{D5CDD505-2E9C-101B-9397-08002B2CF9AE}" pid="11" name="Objective-Owner">
    <vt:lpwstr>Peter Johnstone</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vA15764053</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statistics on gambling</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